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006661\Documents\1 FLUX DI Supply chain\Ramp up 2023\perso\Bois le roi défense les Bacots\PLUI\contribution PLUI\"/>
    </mc:Choice>
  </mc:AlternateContent>
  <bookViews>
    <workbookView xWindow="0" yWindow="0" windowWidth="23040" windowHeight="8904" firstSheet="1" activeTab="1"/>
  </bookViews>
  <sheets>
    <sheet name="Hypothèse construction" sheetId="1" r:id="rId1"/>
    <sheet name="Hypothèse conversion" sheetId="3" r:id="rId2"/>
    <sheet name="Hypothèse log Vacant et RSecond" sheetId="7" r:id="rId3"/>
    <sheet name="cadence construction" sheetId="4" r:id="rId4"/>
    <sheet name="cadence conversion RP" sheetId="5" r:id="rId5"/>
    <sheet name="cadence conversion RS LV" sheetId="6" r:id="rId6"/>
    <sheet name="Sheet1" sheetId="2" r:id="rId7"/>
    <sheet name="synthèse cadence" sheetId="8" r:id="rId8"/>
    <sheet name="synthèse scnéario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D6" i="9"/>
  <c r="C6" i="9"/>
  <c r="E9" i="8"/>
  <c r="F9" i="8" s="1"/>
  <c r="G9" i="8" s="1"/>
  <c r="H9" i="8" s="1"/>
  <c r="D9" i="8"/>
  <c r="C6" i="8"/>
  <c r="D6" i="8"/>
  <c r="E6" i="8"/>
  <c r="F6" i="8"/>
  <c r="G6" i="8"/>
  <c r="H6" i="8"/>
  <c r="I6" i="8"/>
  <c r="J6" i="8"/>
  <c r="B6" i="8"/>
  <c r="C7" i="8"/>
  <c r="D7" i="8"/>
  <c r="E7" i="8"/>
  <c r="F7" i="8"/>
  <c r="G7" i="8"/>
  <c r="H7" i="8"/>
  <c r="I7" i="8"/>
  <c r="J7" i="8"/>
  <c r="B7" i="8"/>
  <c r="C8" i="8"/>
  <c r="D8" i="8"/>
  <c r="E8" i="8"/>
  <c r="F8" i="8"/>
  <c r="G8" i="8"/>
  <c r="H8" i="8"/>
  <c r="I8" i="8"/>
  <c r="J8" i="8"/>
  <c r="B8" i="8"/>
  <c r="E11" i="5"/>
  <c r="F11" i="5" s="1"/>
  <c r="G11" i="5" s="1"/>
  <c r="H11" i="5" s="1"/>
  <c r="I11" i="5" s="1"/>
  <c r="F11" i="4"/>
  <c r="G11" i="4"/>
  <c r="H11" i="4" s="1"/>
  <c r="I11" i="4" s="1"/>
  <c r="E11" i="4"/>
  <c r="E6" i="6"/>
  <c r="E5" i="6"/>
  <c r="E4" i="6"/>
  <c r="D4" i="6"/>
  <c r="E4" i="5"/>
  <c r="D17" i="7"/>
  <c r="E13" i="7"/>
  <c r="D13" i="7"/>
  <c r="E14" i="7"/>
  <c r="D14" i="7"/>
  <c r="E8" i="7"/>
  <c r="E11" i="7" s="1"/>
  <c r="D8" i="7"/>
  <c r="D10" i="7" s="1"/>
  <c r="C8" i="6"/>
  <c r="D5" i="6"/>
  <c r="D6" i="6" s="1"/>
  <c r="E10" i="7" l="1"/>
  <c r="E12" i="7"/>
  <c r="D11" i="7"/>
  <c r="D12" i="7" s="1"/>
  <c r="D15" i="7"/>
  <c r="D16" i="7" s="1"/>
  <c r="E15" i="7"/>
  <c r="E16" i="7" s="1"/>
  <c r="D7" i="6"/>
  <c r="D4" i="5"/>
  <c r="E7" i="5"/>
  <c r="E5" i="5"/>
  <c r="C8" i="5"/>
  <c r="D5" i="5"/>
  <c r="D6" i="5" s="1"/>
  <c r="E10" i="4"/>
  <c r="F10" i="4"/>
  <c r="G10" i="4"/>
  <c r="H10" i="4"/>
  <c r="I10" i="4"/>
  <c r="J10" i="4"/>
  <c r="K10" i="4"/>
  <c r="D10" i="4"/>
  <c r="E9" i="4"/>
  <c r="F9" i="4"/>
  <c r="G9" i="4"/>
  <c r="H9" i="4"/>
  <c r="I9" i="4"/>
  <c r="J9" i="4"/>
  <c r="K9" i="4"/>
  <c r="D9" i="4"/>
  <c r="K5" i="4"/>
  <c r="K6" i="4" s="1"/>
  <c r="C8" i="4"/>
  <c r="D5" i="4"/>
  <c r="D6" i="4" s="1"/>
  <c r="E10" i="3"/>
  <c r="D12" i="3"/>
  <c r="D10" i="3"/>
  <c r="E13" i="3"/>
  <c r="D13" i="3"/>
  <c r="E8" i="3"/>
  <c r="E11" i="3" s="1"/>
  <c r="D8" i="3"/>
  <c r="D11" i="3" s="1"/>
  <c r="E12" i="2"/>
  <c r="D12" i="2"/>
  <c r="E11" i="2"/>
  <c r="E10" i="2"/>
  <c r="D11" i="2"/>
  <c r="D10" i="2"/>
  <c r="E7" i="2"/>
  <c r="E8" i="2" s="1"/>
  <c r="E9" i="2" s="1"/>
  <c r="D7" i="2"/>
  <c r="D9" i="2" s="1"/>
  <c r="D8" i="2"/>
  <c r="B8" i="1"/>
  <c r="B9" i="1"/>
  <c r="E17" i="7" l="1"/>
  <c r="D9" i="6"/>
  <c r="D10" i="6" s="1"/>
  <c r="E7" i="6"/>
  <c r="D8" i="6"/>
  <c r="D7" i="5"/>
  <c r="D8" i="5" s="1"/>
  <c r="K7" i="4"/>
  <c r="K4" i="4"/>
  <c r="D7" i="4"/>
  <c r="D4" i="4"/>
  <c r="D14" i="3"/>
  <c r="E12" i="3"/>
  <c r="E14" i="3"/>
  <c r="F5" i="6" l="1"/>
  <c r="F6" i="6" s="1"/>
  <c r="E9" i="6"/>
  <c r="E10" i="6" s="1"/>
  <c r="E8" i="6"/>
  <c r="D9" i="5"/>
  <c r="D10" i="5" s="1"/>
  <c r="E6" i="5"/>
  <c r="K8" i="4"/>
  <c r="E5" i="4"/>
  <c r="D8" i="4"/>
  <c r="D15" i="3"/>
  <c r="D16" i="3" s="1"/>
  <c r="D17" i="3"/>
  <c r="E15" i="3"/>
  <c r="E16" i="3" s="1"/>
  <c r="B16" i="1"/>
  <c r="B15" i="1"/>
  <c r="B17" i="1"/>
  <c r="B18" i="1" s="1"/>
  <c r="B10" i="1"/>
  <c r="B11" i="1"/>
  <c r="F7" i="6" l="1"/>
  <c r="F8" i="6" s="1"/>
  <c r="F4" i="6"/>
  <c r="F5" i="5"/>
  <c r="E6" i="4"/>
  <c r="E7" i="4" s="1"/>
  <c r="E17" i="3"/>
  <c r="G4" i="6" l="1"/>
  <c r="F9" i="6"/>
  <c r="F10" i="6" s="1"/>
  <c r="G5" i="6"/>
  <c r="G6" i="6" s="1"/>
  <c r="G7" i="6" s="1"/>
  <c r="E9" i="5"/>
  <c r="E10" i="5" s="1"/>
  <c r="F6" i="5"/>
  <c r="E8" i="5"/>
  <c r="E4" i="4"/>
  <c r="F5" i="4" s="1"/>
  <c r="F7" i="5" l="1"/>
  <c r="F4" i="5"/>
  <c r="E8" i="4"/>
  <c r="F6" i="4"/>
  <c r="F7" i="4" s="1"/>
  <c r="G8" i="6" l="1"/>
  <c r="G9" i="6"/>
  <c r="G10" i="6" s="1"/>
  <c r="H5" i="6"/>
  <c r="H6" i="6" s="1"/>
  <c r="G4" i="5"/>
  <c r="F9" i="5"/>
  <c r="F10" i="5" s="1"/>
  <c r="G5" i="5"/>
  <c r="G6" i="5" s="1"/>
  <c r="G7" i="5" s="1"/>
  <c r="F8" i="5"/>
  <c r="F4" i="4"/>
  <c r="G5" i="4" s="1"/>
  <c r="H7" i="6" l="1"/>
  <c r="H4" i="6"/>
  <c r="H8" i="6"/>
  <c r="G8" i="5"/>
  <c r="H5" i="5"/>
  <c r="H6" i="5" s="1"/>
  <c r="H7" i="5" s="1"/>
  <c r="G9" i="5"/>
  <c r="G10" i="5" s="1"/>
  <c r="F8" i="4"/>
  <c r="G6" i="4"/>
  <c r="G7" i="4" s="1"/>
  <c r="I4" i="6" l="1"/>
  <c r="H9" i="6"/>
  <c r="H10" i="6" s="1"/>
  <c r="L5" i="6"/>
  <c r="I5" i="6"/>
  <c r="I6" i="6" s="1"/>
  <c r="I7" i="6" s="1"/>
  <c r="I8" i="6" s="1"/>
  <c r="J5" i="6"/>
  <c r="J6" i="6" s="1"/>
  <c r="I9" i="6"/>
  <c r="I10" i="6" s="1"/>
  <c r="H4" i="5"/>
  <c r="I5" i="5"/>
  <c r="I6" i="5" s="1"/>
  <c r="I7" i="5" s="1"/>
  <c r="L5" i="5"/>
  <c r="H8" i="5"/>
  <c r="G4" i="4"/>
  <c r="G8" i="4"/>
  <c r="H5" i="4"/>
  <c r="H6" i="4" s="1"/>
  <c r="J4" i="6" l="1"/>
  <c r="J7" i="6"/>
  <c r="I4" i="5"/>
  <c r="H9" i="5"/>
  <c r="H10" i="5" s="1"/>
  <c r="H7" i="4"/>
  <c r="H4" i="4"/>
  <c r="K4" i="6" l="1"/>
  <c r="J9" i="6"/>
  <c r="J10" i="6" s="1"/>
  <c r="K5" i="6"/>
  <c r="K6" i="6" s="1"/>
  <c r="K7" i="6" s="1"/>
  <c r="J8" i="6"/>
  <c r="J4" i="5"/>
  <c r="J8" i="5" s="1"/>
  <c r="I8" i="5"/>
  <c r="J5" i="5"/>
  <c r="J6" i="5" s="1"/>
  <c r="J7" i="5" s="1"/>
  <c r="I9" i="5"/>
  <c r="I10" i="5" s="1"/>
  <c r="L5" i="4"/>
  <c r="I5" i="4"/>
  <c r="I6" i="4" s="1"/>
  <c r="I7" i="4" s="1"/>
  <c r="I4" i="4"/>
  <c r="H8" i="4"/>
  <c r="K9" i="6" l="1"/>
  <c r="K10" i="6" s="1"/>
  <c r="J9" i="5"/>
  <c r="J10" i="5" s="1"/>
  <c r="K5" i="5"/>
  <c r="K6" i="5" s="1"/>
  <c r="K7" i="5" s="1"/>
  <c r="J5" i="4"/>
  <c r="J6" i="4" s="1"/>
  <c r="J7" i="4" s="1"/>
  <c r="I8" i="4"/>
  <c r="K8" i="6" l="1"/>
  <c r="K4" i="5"/>
  <c r="K9" i="5" s="1"/>
  <c r="K10" i="5" s="1"/>
  <c r="J4" i="4"/>
  <c r="J8" i="4"/>
  <c r="K8" i="5" l="1"/>
</calcChain>
</file>

<file path=xl/sharedStrings.xml><?xml version="1.0" encoding="utf-8"?>
<sst xmlns="http://schemas.openxmlformats.org/spreadsheetml/2006/main" count="145" uniqueCount="82">
  <si>
    <t>l'assiette des résidences principales prend en compte les logements sociaux, ainsi plus on construit de logements sociaux plus l'assiette de logements sur laquelle appliqué le taux de 25% augmente</t>
  </si>
  <si>
    <t>Nombre d'habitant par logement social</t>
  </si>
  <si>
    <t>Nombre de résidences principales en 2024</t>
  </si>
  <si>
    <t>6100 habitants divisé par 2400 résidences principales</t>
  </si>
  <si>
    <t>Nouveaux logements sociaux + logement sociaux 2024 = 25% * (nombre de résidences principales 2024 + nouveaux logements sociaux + nouveaux logements non sociaux)</t>
  </si>
  <si>
    <t>Nouveaux logements non sociaux collectifs</t>
  </si>
  <si>
    <t>Nouveaux logements sociaux collectifs</t>
  </si>
  <si>
    <t>Nombre d'habitant par logement non social à Bois le Roi</t>
  </si>
  <si>
    <t>Nombre d'habitants en logements sociaux</t>
  </si>
  <si>
    <t>Nombre d'habitants en logements non sociaux</t>
  </si>
  <si>
    <t>Nombre d'habitants supplémentaires</t>
  </si>
  <si>
    <t>Total nouveaux logements collectifs</t>
  </si>
  <si>
    <t>Nombre d'habitants 2024</t>
  </si>
  <si>
    <t>Impact SRU</t>
  </si>
  <si>
    <t>Augmentation du nb de logements vs 2024</t>
  </si>
  <si>
    <t>Impact démographique SRU</t>
  </si>
  <si>
    <t>1 nouveau logement collectif non social pour 4 nouveaux logement sociaux collectifs selon projet PLUI (80% de social par collectif)</t>
  </si>
  <si>
    <t>statistique nationale</t>
  </si>
  <si>
    <t>Construction de nouveaux logements à caractère social</t>
  </si>
  <si>
    <t>Nombre de logements sociaux existants</t>
  </si>
  <si>
    <t>Nombre de résidence principale</t>
  </si>
  <si>
    <t>Nombre de pavillon à convertir en LS</t>
  </si>
  <si>
    <t>Logements sociaux existants avant conversion</t>
  </si>
  <si>
    <t>Nombre de logements totaux</t>
  </si>
  <si>
    <t>% SRU</t>
  </si>
  <si>
    <t>Nomre de logements créé: 2,5 logement par résidence principale convertie</t>
  </si>
  <si>
    <t>Population résidant en non social</t>
  </si>
  <si>
    <t>Population résidant en social</t>
  </si>
  <si>
    <t>Population résidant en npn social</t>
  </si>
  <si>
    <t>Population totale</t>
  </si>
  <si>
    <t>Croissance vs population 2022</t>
  </si>
  <si>
    <t>Part de la population résidant en LS</t>
  </si>
  <si>
    <t>Nomre de logements sociaux créés: 2,5 logement social par résidence principale convertie</t>
  </si>
  <si>
    <t>Nombre de résidences principales (1 RP = 1 pavillon) avant conversion</t>
  </si>
  <si>
    <t>Conversion baux locatifs en baux locatifs conventionnés:  (base 180)</t>
  </si>
  <si>
    <t>Nombre total de LS</t>
  </si>
  <si>
    <t>Nombre de LS déjà existants</t>
  </si>
  <si>
    <t>0 construction neuve  collective autorisée</t>
  </si>
  <si>
    <t xml:space="preserve">Hypothèse 0% construction collective neuve, Conversion du bâti existant en logements sociaux </t>
  </si>
  <si>
    <t>Conversion partielle du parc locatif existant en baux conventionnés</t>
  </si>
  <si>
    <t>Conversion et transformation de pavillons existants en logements sociaux</t>
  </si>
  <si>
    <t>Objectif triennal LS</t>
  </si>
  <si>
    <t>Cumul LS</t>
  </si>
  <si>
    <t xml:space="preserve">Tx SRU </t>
  </si>
  <si>
    <t>23-25</t>
  </si>
  <si>
    <t>26-28</t>
  </si>
  <si>
    <t>28-31</t>
  </si>
  <si>
    <t>32-35</t>
  </si>
  <si>
    <t>35-38</t>
  </si>
  <si>
    <t>Rattrapage triennal du déficit constaté en début de période</t>
  </si>
  <si>
    <t>39-41</t>
  </si>
  <si>
    <t>Periode triennale</t>
  </si>
  <si>
    <t>Nb Résidence principalesen fin de période  avec accroissement = 1,25* nouveaux logements sociaux (hypothèse PLUI)</t>
  </si>
  <si>
    <t>42-43</t>
  </si>
  <si>
    <t>42-44</t>
  </si>
  <si>
    <t>Objectif nb LS avec tx  25% du nombre de résidences principales</t>
  </si>
  <si>
    <t xml:space="preserve">densification </t>
  </si>
  <si>
    <t>On augmente le nombre de logements sociaux par attrition du nombre de résidence principales</t>
  </si>
  <si>
    <t>Nomre de logements sociaux créés: 2,5 logement social par résidence logement vacant converti</t>
  </si>
  <si>
    <t>Nombre de logements RP totaux</t>
  </si>
  <si>
    <t>Nombre de Logements vacants et résidence secondaires à convertir en LS: base 300</t>
  </si>
  <si>
    <t>Nombre de résidences principales avant conversion des logements vacants et RS</t>
  </si>
  <si>
    <t>Hypothèse 0% construction collective neuve, Conversion des logements vacants et des résidences secondaires (RS) en logement sociaux</t>
  </si>
  <si>
    <t>Nb Résidence principales en fin de période  avec accroissement = 1 logement RP en moins donne 2,5 Logements sociaux en plus</t>
  </si>
  <si>
    <t>Nb Résidence principalesen fin de période  avec accroissement = chaque création de LS génère une RP en plus</t>
  </si>
  <si>
    <t>Acroissement Résidences principales</t>
  </si>
  <si>
    <t>Acroissement résidences principales</t>
  </si>
  <si>
    <t>application de l’OR 57 du SDRIF-E</t>
  </si>
  <si>
    <t>Conversion résidences principales en logements sociaux</t>
  </si>
  <si>
    <t>Conversion logements vacants et résidences secondaires en logements sociaux</t>
  </si>
  <si>
    <t>Construction immeubles collectifs 80% sociaux (hypothèse PLUi)</t>
  </si>
  <si>
    <t>Création logement supplémentaires</t>
  </si>
  <si>
    <t>Accroissement de la population</t>
  </si>
  <si>
    <t>NB immeuble supplémentaire</t>
  </si>
  <si>
    <t>Densification en % de logements supplémentaires</t>
  </si>
  <si>
    <t>1200-1400</t>
  </si>
  <si>
    <t>300-450</t>
  </si>
  <si>
    <t>625-750</t>
  </si>
  <si>
    <t>&gt; 2000</t>
  </si>
  <si>
    <t>450-675</t>
  </si>
  <si>
    <t>Artificialisation sols (m2)</t>
  </si>
  <si>
    <t>30000m2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</si>
</sst>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wrapText="1"/>
    </xf>
    <xf numFmtId="1" fontId="0" fillId="0" borderId="0" xfId="0" applyNumberFormat="1" applyBorder="1" applyAlignment="1">
      <alignment horizontal="center"/>
    </xf>
    <xf numFmtId="0" fontId="0" fillId="0" borderId="6" xfId="0" applyBorder="1"/>
    <xf numFmtId="9" fontId="2" fillId="0" borderId="7" xfId="1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7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 applyAlignment="1"/>
    <xf numFmtId="0" fontId="2" fillId="0" borderId="6" xfId="0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3" borderId="0" xfId="0" applyFont="1" applyFill="1"/>
    <xf numFmtId="9" fontId="3" fillId="0" borderId="0" xfId="1" applyFont="1"/>
    <xf numFmtId="9" fontId="4" fillId="0" borderId="0" xfId="1" applyFont="1"/>
    <xf numFmtId="0" fontId="2" fillId="0" borderId="0" xfId="0" applyFont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9" fontId="3" fillId="0" borderId="9" xfId="1" applyFont="1" applyBorder="1" applyAlignment="1">
      <alignment horizontal="center"/>
    </xf>
    <xf numFmtId="9" fontId="5" fillId="0" borderId="9" xfId="1" applyFont="1" applyBorder="1" applyAlignment="1">
      <alignment horizontal="center"/>
    </xf>
    <xf numFmtId="0" fontId="0" fillId="0" borderId="10" xfId="0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10" xfId="0" applyFont="1" applyBorder="1"/>
    <xf numFmtId="9" fontId="2" fillId="0" borderId="9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0" xfId="0" applyNumberFormat="1"/>
    <xf numFmtId="1" fontId="0" fillId="0" borderId="0" xfId="0" applyNumberFormat="1"/>
    <xf numFmtId="9" fontId="0" fillId="0" borderId="9" xfId="0" applyNumberFormat="1" applyBorder="1"/>
    <xf numFmtId="1" fontId="0" fillId="0" borderId="9" xfId="0" applyNumberFormat="1" applyBorder="1"/>
    <xf numFmtId="9" fontId="0" fillId="0" borderId="9" xfId="1" applyFont="1" applyBorder="1"/>
    <xf numFmtId="0" fontId="0" fillId="0" borderId="9" xfId="0" applyBorder="1" applyAlignment="1">
      <alignment wrapText="1"/>
    </xf>
    <xf numFmtId="0" fontId="0" fillId="0" borderId="0" xfId="0" applyBorder="1"/>
    <xf numFmtId="0" fontId="0" fillId="0" borderId="11" xfId="0" applyFill="1" applyBorder="1"/>
    <xf numFmtId="0" fontId="0" fillId="0" borderId="9" xfId="0" applyFill="1" applyBorder="1"/>
    <xf numFmtId="0" fontId="2" fillId="0" borderId="9" xfId="0" applyFont="1" applyBorder="1" applyAlignment="1">
      <alignment wrapText="1"/>
    </xf>
    <xf numFmtId="9" fontId="3" fillId="0" borderId="9" xfId="1" applyFont="1" applyBorder="1"/>
    <xf numFmtId="9" fontId="4" fillId="0" borderId="9" xfId="1" applyFont="1" applyBorder="1"/>
    <xf numFmtId="9" fontId="6" fillId="0" borderId="9" xfId="1" applyFont="1" applyBorder="1"/>
    <xf numFmtId="1" fontId="0" fillId="0" borderId="9" xfId="0" applyNumberFormat="1" applyBorder="1" applyAlignment="1">
      <alignment horizontal="center"/>
    </xf>
    <xf numFmtId="0" fontId="7" fillId="0" borderId="9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de logements supplémentaires avec construction et 0 conversion du bâti existant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'cadence construction'!$D$2:$K$2</c:f>
              <c:strCache>
                <c:ptCount val="8"/>
                <c:pt idx="0">
                  <c:v>23-25</c:v>
                </c:pt>
                <c:pt idx="1">
                  <c:v>26-28</c:v>
                </c:pt>
                <c:pt idx="2">
                  <c:v>28-31</c:v>
                </c:pt>
                <c:pt idx="3">
                  <c:v>32-35</c:v>
                </c:pt>
                <c:pt idx="4">
                  <c:v>35-38</c:v>
                </c:pt>
                <c:pt idx="5">
                  <c:v>39-41</c:v>
                </c:pt>
                <c:pt idx="6">
                  <c:v>42-43</c:v>
                </c:pt>
                <c:pt idx="7">
                  <c:v>42-44</c:v>
                </c:pt>
              </c:strCache>
            </c:strRef>
          </c:cat>
          <c:val>
            <c:numRef>
              <c:f>'cadence construction'!$D$9:$K$9</c:f>
              <c:numCache>
                <c:formatCode>0</c:formatCode>
                <c:ptCount val="8"/>
                <c:pt idx="0">
                  <c:v>103.125</c:v>
                </c:pt>
                <c:pt idx="1">
                  <c:v>257.275390625</c:v>
                </c:pt>
                <c:pt idx="2">
                  <c:v>425.78103637695313</c:v>
                </c:pt>
                <c:pt idx="3">
                  <c:v>556.05696374893205</c:v>
                </c:pt>
                <c:pt idx="4">
                  <c:v>656.77654009839307</c:v>
                </c:pt>
                <c:pt idx="5">
                  <c:v>774.75960443957047</c:v>
                </c:pt>
                <c:pt idx="6">
                  <c:v>929.61237638736566</c:v>
                </c:pt>
                <c:pt idx="7">
                  <c:v>978.00386762105154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C-43F9-A4AB-0DC5313DA2F7}"/>
            </c:ext>
          </c:extLst>
        </c:ser>
        <c:ser>
          <c:idx val="1"/>
          <c:order val="1"/>
          <c:tx>
            <c:strRef>
              <c:f>'cadence construction'!$B$11</c:f>
              <c:strCache>
                <c:ptCount val="1"/>
                <c:pt idx="0">
                  <c:v>application de l’OR 57 du SDRIF-E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'cadence construction'!$D$2:$K$2</c:f>
              <c:strCache>
                <c:ptCount val="8"/>
                <c:pt idx="0">
                  <c:v>23-25</c:v>
                </c:pt>
                <c:pt idx="1">
                  <c:v>26-28</c:v>
                </c:pt>
                <c:pt idx="2">
                  <c:v>28-31</c:v>
                </c:pt>
                <c:pt idx="3">
                  <c:v>32-35</c:v>
                </c:pt>
                <c:pt idx="4">
                  <c:v>35-38</c:v>
                </c:pt>
                <c:pt idx="5">
                  <c:v>39-41</c:v>
                </c:pt>
                <c:pt idx="6">
                  <c:v>42-43</c:v>
                </c:pt>
                <c:pt idx="7">
                  <c:v>42-44</c:v>
                </c:pt>
              </c:strCache>
            </c:strRef>
          </c:cat>
          <c:val>
            <c:numRef>
              <c:f>'cadence construction'!$D$11:$I$11</c:f>
              <c:numCache>
                <c:formatCode>General</c:formatCode>
                <c:ptCount val="6"/>
                <c:pt idx="0">
                  <c:v>60</c:v>
                </c:pt>
                <c:pt idx="1">
                  <c:v>120</c:v>
                </c:pt>
                <c:pt idx="2">
                  <c:v>180</c:v>
                </c:pt>
                <c:pt idx="3">
                  <c:v>240</c:v>
                </c:pt>
                <c:pt idx="4">
                  <c:v>300</c:v>
                </c:pt>
                <c:pt idx="5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0-46D6-9498-3BBE8CC94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642648"/>
        <c:axId val="500645600"/>
      </c:lineChart>
      <c:catAx>
        <c:axId val="50064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5600"/>
        <c:crosses val="autoZero"/>
        <c:auto val="1"/>
        <c:lblAlgn val="ctr"/>
        <c:lblOffset val="100"/>
        <c:noMultiLvlLbl val="0"/>
      </c:catAx>
      <c:valAx>
        <c:axId val="5006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Nombre de logements supplémentaires avec</a:t>
            </a:r>
            <a:r>
              <a:rPr lang="fr-FR" sz="1200" baseline="0"/>
              <a:t> 0 construction collectif et conversion du bâti existant en logements sociaux</a:t>
            </a:r>
            <a:endParaRPr lang="fr-FR" sz="1200"/>
          </a:p>
        </c:rich>
      </c:tx>
      <c:layout>
        <c:manualLayout>
          <c:xMode val="edge"/>
          <c:yMode val="edge"/>
          <c:x val="0.1796041119860017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'cadence conversion RP'!$B$6</c:f>
              <c:strCache>
                <c:ptCount val="1"/>
                <c:pt idx="0">
                  <c:v>Objectif triennal 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'cadence conversion RP'!$C$6:$K$6</c:f>
              <c:numCache>
                <c:formatCode>0</c:formatCode>
                <c:ptCount val="9"/>
                <c:pt idx="1">
                  <c:v>82.5</c:v>
                </c:pt>
                <c:pt idx="2">
                  <c:v>119.96875</c:v>
                </c:pt>
                <c:pt idx="3">
                  <c:v>124.70751562499998</c:v>
                </c:pt>
                <c:pt idx="4">
                  <c:v>89.72705749218747</c:v>
                </c:pt>
                <c:pt idx="5">
                  <c:v>64.558617865628875</c:v>
                </c:pt>
                <c:pt idx="6">
                  <c:v>70.378675082303005</c:v>
                </c:pt>
                <c:pt idx="7">
                  <c:v>80.935476344648464</c:v>
                </c:pt>
                <c:pt idx="8">
                  <c:v>12.140321451697332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5-42C5-B4C3-A4770DF9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42648"/>
        <c:axId val="500645600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'cadence conversion RP'!$C$2:$K$2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'cadence conversion RP'!$C$9:$K$9</c:f>
              <c:numCache>
                <c:formatCode>0</c:formatCode>
                <c:ptCount val="9"/>
                <c:pt idx="1">
                  <c:v>49.5</c:v>
                </c:pt>
                <c:pt idx="2">
                  <c:v>121.48124999999982</c:v>
                </c:pt>
                <c:pt idx="3">
                  <c:v>196.30575937499952</c:v>
                </c:pt>
                <c:pt idx="4">
                  <c:v>250.14199387031204</c:v>
                </c:pt>
                <c:pt idx="5">
                  <c:v>288.87716458968953</c:v>
                </c:pt>
                <c:pt idx="6">
                  <c:v>331.10436963907114</c:v>
                </c:pt>
                <c:pt idx="7">
                  <c:v>379.66565544586047</c:v>
                </c:pt>
                <c:pt idx="8">
                  <c:v>386.94984831687862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2-4054-8168-6DA5AF9F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42648"/>
        <c:axId val="500645600"/>
      </c:lineChart>
      <c:catAx>
        <c:axId val="50064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5600"/>
        <c:crosses val="autoZero"/>
        <c:auto val="1"/>
        <c:lblAlgn val="ctr"/>
        <c:lblOffset val="100"/>
        <c:noMultiLvlLbl val="0"/>
      </c:catAx>
      <c:valAx>
        <c:axId val="5006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Nombre de logements supplémentaires avec</a:t>
            </a:r>
            <a:r>
              <a:rPr lang="fr-FR" sz="1200" baseline="0"/>
              <a:t> 0 construction collectif et conversion du bâti existant en logements sociaux</a:t>
            </a:r>
            <a:endParaRPr lang="fr-FR" sz="1200"/>
          </a:p>
        </c:rich>
      </c:tx>
      <c:layout>
        <c:manualLayout>
          <c:xMode val="edge"/>
          <c:yMode val="edge"/>
          <c:x val="0.1796041119860017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'cadence conversion RS LV'!$B$6</c:f>
              <c:strCache>
                <c:ptCount val="1"/>
                <c:pt idx="0">
                  <c:v>Objectif triennal 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'cadence conversion RS LV'!$C$6:$K$6</c:f>
              <c:numCache>
                <c:formatCode>0</c:formatCode>
                <c:ptCount val="9"/>
                <c:pt idx="1">
                  <c:v>82.5</c:v>
                </c:pt>
                <c:pt idx="2">
                  <c:v>122.03125</c:v>
                </c:pt>
                <c:pt idx="3">
                  <c:v>130.87851562500001</c:v>
                </c:pt>
                <c:pt idx="4">
                  <c:v>98.486083007812525</c:v>
                </c:pt>
                <c:pt idx="5">
                  <c:v>74.110777463378909</c:v>
                </c:pt>
                <c:pt idx="6">
                  <c:v>84.497515213928182</c:v>
                </c:pt>
                <c:pt idx="7">
                  <c:v>105.62189401741023</c:v>
                </c:pt>
                <c:pt idx="8">
                  <c:v>26.405473504352585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E3C-9DA0-BF979662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42648"/>
        <c:axId val="500645600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'cadence conversion RS LV'!$C$2:$K$2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'cadence conversion RS LV'!$C$9:$K$9</c:f>
              <c:numCache>
                <c:formatCode>0</c:formatCode>
                <c:ptCount val="9"/>
                <c:pt idx="1">
                  <c:v>82.5</c:v>
                </c:pt>
                <c:pt idx="2">
                  <c:v>204.53125</c:v>
                </c:pt>
                <c:pt idx="3">
                  <c:v>335.40976562500009</c:v>
                </c:pt>
                <c:pt idx="4">
                  <c:v>433.89584863281243</c:v>
                </c:pt>
                <c:pt idx="5">
                  <c:v>508.00662609619121</c:v>
                </c:pt>
                <c:pt idx="6">
                  <c:v>592.50414131011939</c:v>
                </c:pt>
                <c:pt idx="7">
                  <c:v>698.12603532752973</c:v>
                </c:pt>
                <c:pt idx="8">
                  <c:v>724.53150883188209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0-4E3C-9DA0-BF979662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42648"/>
        <c:axId val="500645600"/>
      </c:lineChart>
      <c:catAx>
        <c:axId val="50064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5600"/>
        <c:crosses val="autoZero"/>
        <c:auto val="1"/>
        <c:lblAlgn val="ctr"/>
        <c:lblOffset val="100"/>
        <c:noMultiLvlLbl val="0"/>
      </c:catAx>
      <c:valAx>
        <c:axId val="5006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64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Augmentation</a:t>
            </a:r>
            <a:r>
              <a:rPr lang="fr-FR" baseline="0"/>
              <a:t> du nombre de logements à Bois le Roi suivant la stratégie de mise en conformité avec la loi SRU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'synthèse cadence'!$A$6</c:f>
              <c:strCache>
                <c:ptCount val="1"/>
                <c:pt idx="0">
                  <c:v>Construction immeubles collectifs 80% sociaux (hypothèse PLUi)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'synthèse cadence'!$B$5:$J$5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'synthèse cadence'!$B$6:$J$6</c:f>
              <c:numCache>
                <c:formatCode>0</c:formatCode>
                <c:ptCount val="9"/>
                <c:pt idx="0">
                  <c:v>0</c:v>
                </c:pt>
                <c:pt idx="1">
                  <c:v>103.125</c:v>
                </c:pt>
                <c:pt idx="2">
                  <c:v>257.275390625</c:v>
                </c:pt>
                <c:pt idx="3">
                  <c:v>425.78103637695313</c:v>
                </c:pt>
                <c:pt idx="4">
                  <c:v>556.05696374893205</c:v>
                </c:pt>
                <c:pt idx="5">
                  <c:v>656.77654009839307</c:v>
                </c:pt>
                <c:pt idx="6">
                  <c:v>774.75960443957047</c:v>
                </c:pt>
                <c:pt idx="7">
                  <c:v>929.61237638736566</c:v>
                </c:pt>
                <c:pt idx="8">
                  <c:v>978.00386762105154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2-4EC1-8AFD-43DFB309B622}"/>
            </c:ext>
          </c:extLst>
        </c:ser>
        <c:ser>
          <c:idx val="1"/>
          <c:order val="1"/>
          <c:tx>
            <c:strRef>
              <c:f>'synthèse cadence'!$A$7</c:f>
              <c:strCache>
                <c:ptCount val="1"/>
                <c:pt idx="0">
                  <c:v>Conversion résidences principales en logements sociaux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'synthèse cadence'!$B$5:$J$5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'synthèse cadence'!$B$7:$J$7</c:f>
              <c:numCache>
                <c:formatCode>0</c:formatCode>
                <c:ptCount val="9"/>
                <c:pt idx="0">
                  <c:v>0</c:v>
                </c:pt>
                <c:pt idx="1">
                  <c:v>49.5</c:v>
                </c:pt>
                <c:pt idx="2">
                  <c:v>121.48124999999982</c:v>
                </c:pt>
                <c:pt idx="3">
                  <c:v>196.30575937499952</c:v>
                </c:pt>
                <c:pt idx="4">
                  <c:v>250.14199387031204</c:v>
                </c:pt>
                <c:pt idx="5">
                  <c:v>288.87716458968953</c:v>
                </c:pt>
                <c:pt idx="6">
                  <c:v>331.10436963907114</c:v>
                </c:pt>
                <c:pt idx="7">
                  <c:v>379.66565544586047</c:v>
                </c:pt>
                <c:pt idx="8">
                  <c:v>386.94984831687862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2-4EC1-8AFD-43DFB309B622}"/>
            </c:ext>
          </c:extLst>
        </c:ser>
        <c:ser>
          <c:idx val="2"/>
          <c:order val="2"/>
          <c:tx>
            <c:strRef>
              <c:f>'synthèse cadence'!$A$8</c:f>
              <c:strCache>
                <c:ptCount val="1"/>
                <c:pt idx="0">
                  <c:v>Conversion logements vacants et résidences secondaires en logements sociaux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'synthèse cadence'!$B$5:$J$5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'synthèse cadence'!$B$8:$J$8</c:f>
              <c:numCache>
                <c:formatCode>0</c:formatCode>
                <c:ptCount val="9"/>
                <c:pt idx="0">
                  <c:v>0</c:v>
                </c:pt>
                <c:pt idx="1">
                  <c:v>82.5</c:v>
                </c:pt>
                <c:pt idx="2">
                  <c:v>204.53125</c:v>
                </c:pt>
                <c:pt idx="3">
                  <c:v>335.40976562500009</c:v>
                </c:pt>
                <c:pt idx="4">
                  <c:v>433.89584863281243</c:v>
                </c:pt>
                <c:pt idx="5">
                  <c:v>508.00662609619121</c:v>
                </c:pt>
                <c:pt idx="6">
                  <c:v>592.50414131011939</c:v>
                </c:pt>
                <c:pt idx="7">
                  <c:v>698.12603532752973</c:v>
                </c:pt>
                <c:pt idx="8">
                  <c:v>724.53150883188209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2-4EC1-8AFD-43DFB309B622}"/>
            </c:ext>
          </c:extLst>
        </c:ser>
        <c:ser>
          <c:idx val="3"/>
          <c:order val="3"/>
          <c:tx>
            <c:strRef>
              <c:f>'synthèse cadence'!$A$9</c:f>
              <c:strCache>
                <c:ptCount val="1"/>
                <c:pt idx="0">
                  <c:v>application de l’OR 57 du SDRIF-E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'synthèse cadence'!$B$5:$J$5</c:f>
              <c:strCache>
                <c:ptCount val="9"/>
                <c:pt idx="0">
                  <c:v>2022</c:v>
                </c:pt>
                <c:pt idx="1">
                  <c:v>23-25</c:v>
                </c:pt>
                <c:pt idx="2">
                  <c:v>26-28</c:v>
                </c:pt>
                <c:pt idx="3">
                  <c:v>28-31</c:v>
                </c:pt>
                <c:pt idx="4">
                  <c:v>32-35</c:v>
                </c:pt>
                <c:pt idx="5">
                  <c:v>35-38</c:v>
                </c:pt>
                <c:pt idx="6">
                  <c:v>39-41</c:v>
                </c:pt>
                <c:pt idx="7">
                  <c:v>42-43</c:v>
                </c:pt>
                <c:pt idx="8">
                  <c:v>42-44</c:v>
                </c:pt>
              </c:strCache>
            </c:strRef>
          </c:cat>
          <c:val>
            <c:numRef>
              <c:f>'synthèse cadence'!$B$9:$J$9</c:f>
              <c:numCache>
                <c:formatCode>General</c:formatCode>
                <c:ptCount val="9"/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240</c:v>
                </c:pt>
                <c:pt idx="5">
                  <c:v>300</c:v>
                </c:pt>
                <c:pt idx="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C2-4EC1-8AFD-43DFB309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192544"/>
        <c:axId val="596183688"/>
      </c:lineChart>
      <c:catAx>
        <c:axId val="59619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6183688"/>
        <c:crosses val="autoZero"/>
        <c:auto val="1"/>
        <c:lblAlgn val="ctr"/>
        <c:lblOffset val="100"/>
        <c:noMultiLvlLbl val="0"/>
      </c:catAx>
      <c:valAx>
        <c:axId val="59618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619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1135380</xdr:colOff>
      <xdr:row>13</xdr:row>
      <xdr:rowOff>11430</xdr:rowOff>
    </xdr:from>
    <xdr:to>
      <xdr:col>5</xdr:col>
      <xdr:colOff>129540</xdr:colOff>
      <xdr:row>30</xdr:row>
      <xdr:rowOff>45720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12</xdr:row>
      <xdr:rowOff>3810</xdr:rowOff>
    </xdr:from>
    <xdr:to>
      <xdr:col>5</xdr:col>
      <xdr:colOff>137160</xdr:colOff>
      <xdr:row>27</xdr:row>
      <xdr:rowOff>3810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12</xdr:row>
      <xdr:rowOff>3810</xdr:rowOff>
    </xdr:from>
    <xdr:to>
      <xdr:col>5</xdr:col>
      <xdr:colOff>137160</xdr:colOff>
      <xdr:row>27</xdr:row>
      <xdr:rowOff>3810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9</xdr:row>
      <xdr:rowOff>45720</xdr:rowOff>
    </xdr:from>
    <xdr:to>
      <xdr:col>4</xdr:col>
      <xdr:colOff>152400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15</xdr:row>
      <xdr:rowOff>22860</xdr:rowOff>
    </xdr:from>
    <xdr:to>
      <xdr:col>19</xdr:col>
      <xdr:colOff>287020</xdr:colOff>
      <xdr:row>26</xdr:row>
      <xdr:rowOff>7621</xdr:rowOff>
    </xdr:to>
    <xdr:sp macro="" textlink="">
      <xdr:nvSpPr>
        <xdr:cNvPr id="2" name="Content Placeholder 2"/>
        <xdr:cNvSpPr>
          <a:spLocks noGrp="1"/>
        </xdr:cNvSpPr>
      </xdr:nvSpPr>
      <xdr:spPr>
        <a:xfrm>
          <a:off x="403860" y="2766060"/>
          <a:ext cx="11465560" cy="19964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txBody>
        <a:bodyPr vert="horz" wrap="square" lIns="91440" tIns="45720" rIns="91440" bIns="45720" rtlCol="0">
          <a:noAutofit/>
        </a:bodyPr>
        <a:lstStyle>
          <a:lvl1pPr marL="228600" indent="-228600" algn="l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Char char="•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85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600"/>
            <a:t>Création de ~800 logements sociaux en mobilisant 250 à 300 logements vacants ou résidence secondaire </a:t>
          </a:r>
        </a:p>
        <a:p>
          <a:pPr lvl="1"/>
          <a:r>
            <a:rPr lang="fr-FR" sz="1200"/>
            <a:t>Avec ou sans transformation du parc locatif existant en baux sociaux conventionnés</a:t>
          </a:r>
        </a:p>
        <a:p>
          <a:r>
            <a:rPr lang="fr-FR" sz="1600"/>
            <a:t>Un accroissement de la population de plus de de 1200 à 1400  habitants (+20-24%)</a:t>
          </a:r>
        </a:p>
        <a:p>
          <a:r>
            <a:rPr lang="fr-FR" sz="1600"/>
            <a:t>Une densification urbaine ~15% (en nb de logements) sans construction supplémentaire</a:t>
          </a:r>
        </a:p>
        <a:p>
          <a:r>
            <a:rPr lang="fr-FR" sz="1600"/>
            <a:t>0 immeuble supplémentaire</a:t>
          </a:r>
        </a:p>
        <a:p>
          <a:r>
            <a:rPr lang="fr-FR" sz="1600"/>
            <a:t>0m2 de sol  artificialisé en plus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activeCell="A2" sqref="A2"/>
    </sheetView>
  </sheetViews>
  <sheetFormatPr defaultRowHeight="14.4" x14ac:dyDescent="0.3"/>
  <cols>
    <col min="1" max="1" width="57.5546875" customWidth="1"/>
    <col min="2" max="2" width="9.88671875" customWidth="1"/>
    <col min="3" max="3" width="80.6640625" customWidth="1"/>
  </cols>
  <sheetData>
    <row r="2" spans="1:3" x14ac:dyDescent="0.3">
      <c r="A2" s="24" t="s">
        <v>18</v>
      </c>
    </row>
    <row r="3" spans="1:3" ht="15" thickBot="1" x14ac:dyDescent="0.35"/>
    <row r="4" spans="1:3" x14ac:dyDescent="0.3">
      <c r="A4" s="17" t="s">
        <v>13</v>
      </c>
      <c r="B4" s="15"/>
      <c r="C4" s="16"/>
    </row>
    <row r="5" spans="1:3" ht="15" thickBot="1" x14ac:dyDescent="0.35">
      <c r="A5" s="20" t="s">
        <v>4</v>
      </c>
      <c r="B5" s="18"/>
      <c r="C5" s="19"/>
    </row>
    <row r="6" spans="1:3" ht="33.6" customHeight="1" x14ac:dyDescent="0.3">
      <c r="A6" s="3" t="s">
        <v>2</v>
      </c>
      <c r="B6" s="5">
        <v>2400</v>
      </c>
      <c r="C6" s="6" t="s">
        <v>0</v>
      </c>
    </row>
    <row r="7" spans="1:3" x14ac:dyDescent="0.3">
      <c r="A7" s="3" t="s">
        <v>19</v>
      </c>
      <c r="B7" s="5">
        <v>50</v>
      </c>
      <c r="C7" s="6"/>
    </row>
    <row r="8" spans="1:3" x14ac:dyDescent="0.3">
      <c r="A8" s="3" t="s">
        <v>6</v>
      </c>
      <c r="B8" s="23">
        <f>(25%*(B6+B9)-B7)/0.75</f>
        <v>800</v>
      </c>
      <c r="C8" s="4"/>
    </row>
    <row r="9" spans="1:3" ht="28.8" x14ac:dyDescent="0.3">
      <c r="A9" s="3" t="s">
        <v>5</v>
      </c>
      <c r="B9" s="7">
        <f>200</f>
        <v>200</v>
      </c>
      <c r="C9" s="6" t="s">
        <v>16</v>
      </c>
    </row>
    <row r="10" spans="1:3" x14ac:dyDescent="0.3">
      <c r="A10" s="3" t="s">
        <v>11</v>
      </c>
      <c r="B10" s="22">
        <f>B9+B8</f>
        <v>1000</v>
      </c>
      <c r="C10" s="6"/>
    </row>
    <row r="11" spans="1:3" ht="15" thickBot="1" x14ac:dyDescent="0.35">
      <c r="A11" s="21" t="s">
        <v>14</v>
      </c>
      <c r="B11" s="9">
        <f>B10/B6</f>
        <v>0.41666666666666669</v>
      </c>
      <c r="C11" s="10"/>
    </row>
    <row r="12" spans="1:3" x14ac:dyDescent="0.3">
      <c r="A12" s="11" t="s">
        <v>1</v>
      </c>
      <c r="B12" s="12">
        <v>1.9</v>
      </c>
      <c r="C12" s="13" t="s">
        <v>17</v>
      </c>
    </row>
    <row r="13" spans="1:3" ht="15" thickBot="1" x14ac:dyDescent="0.35">
      <c r="A13" s="8" t="s">
        <v>7</v>
      </c>
      <c r="B13" s="14">
        <v>2.5</v>
      </c>
      <c r="C13" s="10" t="s">
        <v>3</v>
      </c>
    </row>
    <row r="14" spans="1:3" x14ac:dyDescent="0.3">
      <c r="A14" s="11" t="s">
        <v>12</v>
      </c>
      <c r="B14" s="12">
        <v>6000</v>
      </c>
      <c r="C14" s="13"/>
    </row>
    <row r="15" spans="1:3" x14ac:dyDescent="0.3">
      <c r="A15" s="3" t="s">
        <v>8</v>
      </c>
      <c r="B15" s="5">
        <f>B12*B8</f>
        <v>1520</v>
      </c>
      <c r="C15" s="6"/>
    </row>
    <row r="16" spans="1:3" x14ac:dyDescent="0.3">
      <c r="A16" s="3" t="s">
        <v>9</v>
      </c>
      <c r="B16" s="7">
        <f>B13*B9</f>
        <v>500</v>
      </c>
      <c r="C16" s="6"/>
    </row>
    <row r="17" spans="1:3" x14ac:dyDescent="0.3">
      <c r="A17" s="3" t="s">
        <v>10</v>
      </c>
      <c r="B17" s="22">
        <f>B15+B16</f>
        <v>2020</v>
      </c>
      <c r="C17" s="6"/>
    </row>
    <row r="18" spans="1:3" ht="15" thickBot="1" x14ac:dyDescent="0.35">
      <c r="A18" s="21" t="s">
        <v>15</v>
      </c>
      <c r="B18" s="9">
        <f>B17/B14</f>
        <v>0.33666666666666667</v>
      </c>
      <c r="C18" s="10"/>
    </row>
    <row r="19" spans="1:3" x14ac:dyDescent="0.3">
      <c r="B19" s="2"/>
      <c r="C19" s="1"/>
    </row>
    <row r="20" spans="1:3" x14ac:dyDescent="0.3">
      <c r="B20" s="5"/>
      <c r="C20" s="1"/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7"/>
  <sheetViews>
    <sheetView tabSelected="1" workbookViewId="0">
      <selection activeCell="D17" sqref="D17"/>
    </sheetView>
  </sheetViews>
  <sheetFormatPr defaultRowHeight="14.4" x14ac:dyDescent="0.3"/>
  <cols>
    <col min="3" max="3" width="74.44140625" customWidth="1"/>
    <col min="4" max="4" width="21.33203125" customWidth="1"/>
    <col min="5" max="5" width="21.5546875" customWidth="1"/>
  </cols>
  <sheetData>
    <row r="1" spans="3:5" x14ac:dyDescent="0.3">
      <c r="C1" s="24" t="s">
        <v>38</v>
      </c>
    </row>
    <row r="2" spans="3:5" x14ac:dyDescent="0.3">
      <c r="C2" t="s">
        <v>37</v>
      </c>
    </row>
    <row r="3" spans="3:5" x14ac:dyDescent="0.3">
      <c r="C3" t="s">
        <v>39</v>
      </c>
    </row>
    <row r="4" spans="3:5" x14ac:dyDescent="0.3">
      <c r="C4" t="s">
        <v>40</v>
      </c>
      <c r="E4" s="27"/>
    </row>
    <row r="5" spans="3:5" x14ac:dyDescent="0.3">
      <c r="C5" s="35" t="s">
        <v>21</v>
      </c>
      <c r="D5" s="29">
        <v>200</v>
      </c>
      <c r="E5" s="29">
        <v>300</v>
      </c>
    </row>
    <row r="6" spans="3:5" x14ac:dyDescent="0.3">
      <c r="C6" s="32" t="s">
        <v>33</v>
      </c>
      <c r="D6" s="29">
        <v>2400</v>
      </c>
      <c r="E6" s="29">
        <v>2400</v>
      </c>
    </row>
    <row r="7" spans="3:5" x14ac:dyDescent="0.3">
      <c r="C7" s="32" t="s">
        <v>36</v>
      </c>
      <c r="D7" s="29">
        <v>50</v>
      </c>
      <c r="E7" s="29">
        <v>50</v>
      </c>
    </row>
    <row r="8" spans="3:5" x14ac:dyDescent="0.3">
      <c r="C8" s="32" t="s">
        <v>32</v>
      </c>
      <c r="D8" s="29">
        <f>D5*2.5</f>
        <v>500</v>
      </c>
      <c r="E8" s="29">
        <f>E5*2.5</f>
        <v>750</v>
      </c>
    </row>
    <row r="9" spans="3:5" x14ac:dyDescent="0.3">
      <c r="C9" s="32" t="s">
        <v>34</v>
      </c>
      <c r="D9" s="29">
        <v>90</v>
      </c>
      <c r="E9" s="29">
        <v>0</v>
      </c>
    </row>
    <row r="10" spans="3:5" x14ac:dyDescent="0.3">
      <c r="C10" s="32" t="s">
        <v>35</v>
      </c>
      <c r="D10" s="29">
        <f>D9+D8+D7</f>
        <v>640</v>
      </c>
      <c r="E10" s="29">
        <f>E9+E8+E7</f>
        <v>800</v>
      </c>
    </row>
    <row r="11" spans="3:5" x14ac:dyDescent="0.3">
      <c r="C11" s="32" t="s">
        <v>23</v>
      </c>
      <c r="D11" s="29">
        <f>D8+D6-D5</f>
        <v>2700</v>
      </c>
      <c r="E11" s="29">
        <f>E8+E6-E5</f>
        <v>2850</v>
      </c>
    </row>
    <row r="12" spans="3:5" x14ac:dyDescent="0.3">
      <c r="C12" s="32" t="s">
        <v>24</v>
      </c>
      <c r="D12" s="30">
        <f>D10/D11</f>
        <v>0.23703703703703705</v>
      </c>
      <c r="E12" s="31">
        <f>E8/E11</f>
        <v>0.26315789473684209</v>
      </c>
    </row>
    <row r="13" spans="3:5" x14ac:dyDescent="0.3">
      <c r="C13" s="32" t="s">
        <v>26</v>
      </c>
      <c r="D13" s="29">
        <f>2.5*(D6-D5)</f>
        <v>5500</v>
      </c>
      <c r="E13" s="29">
        <f>2.5*(E6-E5)</f>
        <v>5250</v>
      </c>
    </row>
    <row r="14" spans="3:5" x14ac:dyDescent="0.3">
      <c r="C14" s="32" t="s">
        <v>27</v>
      </c>
      <c r="D14" s="29">
        <f>D8*1.9</f>
        <v>950</v>
      </c>
      <c r="E14" s="29">
        <f>E8*1.9</f>
        <v>1425</v>
      </c>
    </row>
    <row r="15" spans="3:5" x14ac:dyDescent="0.3">
      <c r="C15" s="34" t="s">
        <v>29</v>
      </c>
      <c r="D15" s="29">
        <f>D14+D13</f>
        <v>6450</v>
      </c>
      <c r="E15" s="29">
        <f>E14+E13</f>
        <v>6675</v>
      </c>
    </row>
    <row r="16" spans="3:5" x14ac:dyDescent="0.3">
      <c r="C16" s="34" t="s">
        <v>30</v>
      </c>
      <c r="D16" s="36">
        <f>D15/6000-1</f>
        <v>7.4999999999999956E-2</v>
      </c>
      <c r="E16" s="36">
        <f>E15/6000-1</f>
        <v>0.11250000000000004</v>
      </c>
    </row>
    <row r="17" spans="3:5" x14ac:dyDescent="0.3">
      <c r="C17" s="28" t="s">
        <v>31</v>
      </c>
      <c r="D17" s="37">
        <f>D14/D15</f>
        <v>0.14728682170542637</v>
      </c>
      <c r="E17" s="37">
        <f>E14/E15</f>
        <v>0.21348314606741572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7"/>
  <sheetViews>
    <sheetView topLeftCell="B1" workbookViewId="0">
      <selection activeCell="D10" sqref="D10"/>
    </sheetView>
  </sheetViews>
  <sheetFormatPr defaultRowHeight="14.4" x14ac:dyDescent="0.3"/>
  <cols>
    <col min="3" max="3" width="74.44140625" customWidth="1"/>
    <col min="4" max="4" width="21.33203125" customWidth="1"/>
    <col min="5" max="5" width="21.5546875" customWidth="1"/>
  </cols>
  <sheetData>
    <row r="1" spans="3:5" x14ac:dyDescent="0.3">
      <c r="C1" s="24" t="s">
        <v>62</v>
      </c>
    </row>
    <row r="2" spans="3:5" x14ac:dyDescent="0.3">
      <c r="C2" t="s">
        <v>37</v>
      </c>
    </row>
    <row r="3" spans="3:5" x14ac:dyDescent="0.3">
      <c r="C3" t="s">
        <v>39</v>
      </c>
    </row>
    <row r="4" spans="3:5" x14ac:dyDescent="0.3">
      <c r="C4" t="s">
        <v>40</v>
      </c>
      <c r="E4" s="27"/>
    </row>
    <row r="5" spans="3:5" x14ac:dyDescent="0.3">
      <c r="C5" s="35" t="s">
        <v>60</v>
      </c>
      <c r="D5" s="29">
        <v>250</v>
      </c>
      <c r="E5" s="29">
        <v>300</v>
      </c>
    </row>
    <row r="6" spans="3:5" x14ac:dyDescent="0.3">
      <c r="C6" s="32" t="s">
        <v>61</v>
      </c>
      <c r="D6" s="29">
        <v>2400</v>
      </c>
      <c r="E6" s="29">
        <v>2400</v>
      </c>
    </row>
    <row r="7" spans="3:5" x14ac:dyDescent="0.3">
      <c r="C7" s="32" t="s">
        <v>36</v>
      </c>
      <c r="D7" s="29">
        <v>50</v>
      </c>
      <c r="E7" s="29">
        <v>50</v>
      </c>
    </row>
    <row r="8" spans="3:5" x14ac:dyDescent="0.3">
      <c r="C8" s="32" t="s">
        <v>58</v>
      </c>
      <c r="D8" s="29">
        <f>D5*2.5</f>
        <v>625</v>
      </c>
      <c r="E8" s="29">
        <f>E5*2.5</f>
        <v>750</v>
      </c>
    </row>
    <row r="9" spans="3:5" x14ac:dyDescent="0.3">
      <c r="C9" s="32" t="s">
        <v>34</v>
      </c>
      <c r="D9" s="29">
        <v>90</v>
      </c>
      <c r="E9" s="29">
        <v>0</v>
      </c>
    </row>
    <row r="10" spans="3:5" x14ac:dyDescent="0.3">
      <c r="C10" s="32" t="s">
        <v>35</v>
      </c>
      <c r="D10" s="29">
        <f>D9+D8+D7</f>
        <v>765</v>
      </c>
      <c r="E10" s="29">
        <f>E9+E8+E7</f>
        <v>800</v>
      </c>
    </row>
    <row r="11" spans="3:5" x14ac:dyDescent="0.3">
      <c r="C11" s="32" t="s">
        <v>59</v>
      </c>
      <c r="D11" s="29">
        <f>D8+D6</f>
        <v>3025</v>
      </c>
      <c r="E11" s="29">
        <f>E8+E6+E9</f>
        <v>3150</v>
      </c>
    </row>
    <row r="12" spans="3:5" x14ac:dyDescent="0.3">
      <c r="C12" s="32" t="s">
        <v>24</v>
      </c>
      <c r="D12" s="31">
        <f>D10/D11</f>
        <v>0.2528925619834711</v>
      </c>
      <c r="E12" s="31">
        <f>E8/E11</f>
        <v>0.23809523809523808</v>
      </c>
    </row>
    <row r="13" spans="3:5" x14ac:dyDescent="0.3">
      <c r="C13" s="32" t="s">
        <v>26</v>
      </c>
      <c r="D13" s="29">
        <f>2.5*(D6)-1.9*D9</f>
        <v>5829</v>
      </c>
      <c r="E13" s="29">
        <f>2.5*(E6)-1.9*E9</f>
        <v>6000</v>
      </c>
    </row>
    <row r="14" spans="3:5" x14ac:dyDescent="0.3">
      <c r="C14" s="32" t="s">
        <v>27</v>
      </c>
      <c r="D14" s="51">
        <f>(D8+D9)*1.9</f>
        <v>1358.5</v>
      </c>
      <c r="E14" s="51">
        <f>(E8+E9)*1.9</f>
        <v>1425</v>
      </c>
    </row>
    <row r="15" spans="3:5" x14ac:dyDescent="0.3">
      <c r="C15" s="34" t="s">
        <v>29</v>
      </c>
      <c r="D15" s="51">
        <f>D14+D13</f>
        <v>7187.5</v>
      </c>
      <c r="E15" s="29">
        <f>E14+E13</f>
        <v>7425</v>
      </c>
    </row>
    <row r="16" spans="3:5" x14ac:dyDescent="0.3">
      <c r="C16" s="34" t="s">
        <v>30</v>
      </c>
      <c r="D16" s="36">
        <f>D15/6000-1</f>
        <v>0.19791666666666674</v>
      </c>
      <c r="E16" s="36">
        <f>E15/6000-1</f>
        <v>0.23750000000000004</v>
      </c>
    </row>
    <row r="17" spans="3:5" x14ac:dyDescent="0.3">
      <c r="C17" s="28" t="s">
        <v>31</v>
      </c>
      <c r="D17" s="37">
        <f>D14/D15</f>
        <v>0.1890086956521739</v>
      </c>
      <c r="E17" s="37">
        <f>E14/E15</f>
        <v>0.19191919191919191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topLeftCell="A7" workbookViewId="0">
      <selection activeCell="B11" sqref="B11:K11"/>
    </sheetView>
  </sheetViews>
  <sheetFormatPr defaultRowHeight="14.4" x14ac:dyDescent="0.3"/>
  <cols>
    <col min="2" max="2" width="39.21875" customWidth="1"/>
    <col min="3" max="3" width="8.44140625" customWidth="1"/>
  </cols>
  <sheetData>
    <row r="1" spans="2:12" x14ac:dyDescent="0.3">
      <c r="C1" s="28"/>
      <c r="D1" s="28"/>
      <c r="E1" s="28"/>
      <c r="F1" s="28"/>
      <c r="G1" s="28"/>
      <c r="H1" s="28"/>
      <c r="I1" s="44"/>
      <c r="J1" s="44"/>
      <c r="K1" s="44"/>
    </row>
    <row r="2" spans="2:12" x14ac:dyDescent="0.3">
      <c r="B2" s="47" t="s">
        <v>51</v>
      </c>
      <c r="C2" s="33">
        <v>2022</v>
      </c>
      <c r="D2" s="33" t="s">
        <v>44</v>
      </c>
      <c r="E2" s="33" t="s">
        <v>45</v>
      </c>
      <c r="F2" s="33" t="s">
        <v>46</v>
      </c>
      <c r="G2" s="33" t="s">
        <v>47</v>
      </c>
      <c r="H2" s="33" t="s">
        <v>48</v>
      </c>
      <c r="I2" s="33" t="s">
        <v>50</v>
      </c>
      <c r="J2" s="33" t="s">
        <v>53</v>
      </c>
      <c r="K2" s="33" t="s">
        <v>54</v>
      </c>
    </row>
    <row r="3" spans="2:12" ht="28.8" x14ac:dyDescent="0.3">
      <c r="B3" s="43" t="s">
        <v>49</v>
      </c>
      <c r="C3" s="28"/>
      <c r="D3" s="40">
        <v>0.15</v>
      </c>
      <c r="E3" s="40">
        <v>0.25</v>
      </c>
      <c r="F3" s="40">
        <v>0.33</v>
      </c>
      <c r="G3" s="40">
        <v>0.33</v>
      </c>
      <c r="H3" s="40">
        <v>0.33</v>
      </c>
      <c r="I3" s="40">
        <v>0.5</v>
      </c>
      <c r="J3" s="40">
        <v>1</v>
      </c>
      <c r="K3" s="40">
        <v>1</v>
      </c>
      <c r="L3" s="38">
        <v>0.33</v>
      </c>
    </row>
    <row r="4" spans="2:12" ht="45" customHeight="1" x14ac:dyDescent="0.3">
      <c r="B4" s="43" t="s">
        <v>52</v>
      </c>
      <c r="C4" s="28">
        <v>2400</v>
      </c>
      <c r="D4" s="41">
        <f t="shared" ref="D4:K4" si="0">C4+1.25*D6</f>
        <v>2503.125</v>
      </c>
      <c r="E4" s="41">
        <f t="shared" si="0"/>
        <v>2657.275390625</v>
      </c>
      <c r="F4" s="41">
        <f t="shared" si="0"/>
        <v>2825.7810363769531</v>
      </c>
      <c r="G4" s="41">
        <f t="shared" si="0"/>
        <v>2956.056963748932</v>
      </c>
      <c r="H4" s="41">
        <f t="shared" si="0"/>
        <v>3056.7765400983931</v>
      </c>
      <c r="I4" s="41">
        <f t="shared" si="0"/>
        <v>3174.7596044395705</v>
      </c>
      <c r="J4" s="41">
        <f t="shared" si="0"/>
        <v>3329.6123763873657</v>
      </c>
      <c r="K4" s="41">
        <f t="shared" si="0"/>
        <v>3378.0038676210515</v>
      </c>
    </row>
    <row r="5" spans="2:12" ht="28.8" x14ac:dyDescent="0.3">
      <c r="B5" s="43" t="s">
        <v>55</v>
      </c>
      <c r="C5" s="28"/>
      <c r="D5" s="41">
        <f t="shared" ref="D5:K5" si="1">C4*25%</f>
        <v>600</v>
      </c>
      <c r="E5" s="41">
        <f t="shared" si="1"/>
        <v>625.78125</v>
      </c>
      <c r="F5" s="41">
        <f t="shared" si="1"/>
        <v>664.31884765625</v>
      </c>
      <c r="G5" s="41">
        <f t="shared" si="1"/>
        <v>706.44525909423828</v>
      </c>
      <c r="H5" s="41">
        <f t="shared" si="1"/>
        <v>739.01424093723301</v>
      </c>
      <c r="I5" s="41">
        <f t="shared" si="1"/>
        <v>764.19413502459827</v>
      </c>
      <c r="J5" s="41">
        <f t="shared" si="1"/>
        <v>793.68990110989262</v>
      </c>
      <c r="K5" s="41">
        <f t="shared" si="1"/>
        <v>832.40309409684141</v>
      </c>
      <c r="L5" s="39">
        <f>H4*25%</f>
        <v>764.19413502459827</v>
      </c>
    </row>
    <row r="6" spans="2:12" x14ac:dyDescent="0.3">
      <c r="B6" s="28" t="s">
        <v>41</v>
      </c>
      <c r="C6" s="28">
        <v>50</v>
      </c>
      <c r="D6" s="41">
        <f t="shared" ref="D6:K6" si="2">(D5-C7)*D3</f>
        <v>82.5</v>
      </c>
      <c r="E6" s="41">
        <f t="shared" si="2"/>
        <v>123.3203125</v>
      </c>
      <c r="F6" s="41">
        <f t="shared" si="2"/>
        <v>134.80451660156251</v>
      </c>
      <c r="G6" s="41">
        <f t="shared" si="2"/>
        <v>104.22074189758301</v>
      </c>
      <c r="H6" s="41">
        <f t="shared" si="2"/>
        <v>80.575661079568874</v>
      </c>
      <c r="I6" s="41">
        <f t="shared" si="2"/>
        <v>94.386451472941928</v>
      </c>
      <c r="J6" s="41">
        <f t="shared" si="2"/>
        <v>123.88221755823633</v>
      </c>
      <c r="K6" s="41">
        <f t="shared" si="2"/>
        <v>38.713192986948798</v>
      </c>
    </row>
    <row r="7" spans="2:12" x14ac:dyDescent="0.3">
      <c r="B7" s="28" t="s">
        <v>42</v>
      </c>
      <c r="C7" s="28">
        <v>50</v>
      </c>
      <c r="D7" s="41">
        <f>D6+C7</f>
        <v>132.5</v>
      </c>
      <c r="E7" s="41">
        <f t="shared" ref="E7:K7" si="3">E6+D7</f>
        <v>255.8203125</v>
      </c>
      <c r="F7" s="41">
        <f t="shared" si="3"/>
        <v>390.62482910156251</v>
      </c>
      <c r="G7" s="41">
        <f t="shared" si="3"/>
        <v>494.84557099914554</v>
      </c>
      <c r="H7" s="41">
        <f t="shared" si="3"/>
        <v>575.42123207871441</v>
      </c>
      <c r="I7" s="41">
        <f t="shared" si="3"/>
        <v>669.80768355165628</v>
      </c>
      <c r="J7" s="41">
        <f t="shared" si="3"/>
        <v>793.68990110989262</v>
      </c>
      <c r="K7" s="41">
        <f t="shared" si="3"/>
        <v>832.40309409684141</v>
      </c>
    </row>
    <row r="8" spans="2:12" x14ac:dyDescent="0.3">
      <c r="B8" s="28" t="s">
        <v>43</v>
      </c>
      <c r="C8" s="48">
        <f>C7/C4</f>
        <v>2.0833333333333332E-2</v>
      </c>
      <c r="D8" s="48">
        <f t="shared" ref="D8:G8" si="4">D7/D4</f>
        <v>5.2933832709113608E-2</v>
      </c>
      <c r="E8" s="48">
        <f t="shared" si="4"/>
        <v>9.6271659837195198E-2</v>
      </c>
      <c r="F8" s="48">
        <f t="shared" si="4"/>
        <v>0.13823605724327395</v>
      </c>
      <c r="G8" s="49">
        <f t="shared" si="4"/>
        <v>0.16740055319217267</v>
      </c>
      <c r="H8" s="49">
        <f>H7/H4</f>
        <v>0.18824445442132073</v>
      </c>
      <c r="I8" s="50">
        <f>I7/I4</f>
        <v>0.21097902424328444</v>
      </c>
      <c r="J8" s="50">
        <f>J7/J4</f>
        <v>0.23837306310443479</v>
      </c>
      <c r="K8" s="50">
        <f>K7/K4</f>
        <v>0.24641863263556849</v>
      </c>
    </row>
    <row r="9" spans="2:12" x14ac:dyDescent="0.3">
      <c r="B9" s="46" t="s">
        <v>66</v>
      </c>
      <c r="C9" s="28"/>
      <c r="D9" s="41">
        <f>D4-$C$4</f>
        <v>103.125</v>
      </c>
      <c r="E9" s="41">
        <f t="shared" ref="E9:K9" si="5">E4-$C$4</f>
        <v>257.275390625</v>
      </c>
      <c r="F9" s="41">
        <f t="shared" si="5"/>
        <v>425.78103637695313</v>
      </c>
      <c r="G9" s="41">
        <f t="shared" si="5"/>
        <v>556.05696374893205</v>
      </c>
      <c r="H9" s="41">
        <f t="shared" si="5"/>
        <v>656.77654009839307</v>
      </c>
      <c r="I9" s="41">
        <f t="shared" si="5"/>
        <v>774.75960443957047</v>
      </c>
      <c r="J9" s="41">
        <f t="shared" si="5"/>
        <v>929.61237638736566</v>
      </c>
      <c r="K9" s="41">
        <f t="shared" si="5"/>
        <v>978.00386762105154</v>
      </c>
    </row>
    <row r="10" spans="2:12" x14ac:dyDescent="0.3">
      <c r="B10" s="46" t="s">
        <v>56</v>
      </c>
      <c r="C10" s="28"/>
      <c r="D10" s="42">
        <f>D9/$C$4</f>
        <v>4.296875E-2</v>
      </c>
      <c r="E10" s="42">
        <f t="shared" ref="E10:K10" si="6">E9/$C$4</f>
        <v>0.10719807942708333</v>
      </c>
      <c r="F10" s="42">
        <f t="shared" si="6"/>
        <v>0.1774087651570638</v>
      </c>
      <c r="G10" s="42">
        <f t="shared" si="6"/>
        <v>0.23169040156205503</v>
      </c>
      <c r="H10" s="42">
        <f t="shared" si="6"/>
        <v>0.27365689170766377</v>
      </c>
      <c r="I10" s="42">
        <f t="shared" si="6"/>
        <v>0.32281650184982102</v>
      </c>
      <c r="J10" s="42">
        <f t="shared" si="6"/>
        <v>0.38733849016140237</v>
      </c>
      <c r="K10" s="42">
        <f t="shared" si="6"/>
        <v>0.40750161150877146</v>
      </c>
    </row>
    <row r="11" spans="2:12" x14ac:dyDescent="0.3">
      <c r="B11" t="s">
        <v>67</v>
      </c>
      <c r="D11">
        <v>60</v>
      </c>
      <c r="E11">
        <f>60+D11</f>
        <v>120</v>
      </c>
      <c r="F11">
        <f t="shared" ref="F11:I11" si="7">60+E11</f>
        <v>180</v>
      </c>
      <c r="G11">
        <f t="shared" si="7"/>
        <v>240</v>
      </c>
      <c r="H11">
        <f t="shared" si="7"/>
        <v>300</v>
      </c>
      <c r="I11">
        <f t="shared" si="7"/>
        <v>360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B11" sqref="B11:K11"/>
    </sheetView>
  </sheetViews>
  <sheetFormatPr defaultRowHeight="14.4" x14ac:dyDescent="0.3"/>
  <cols>
    <col min="2" max="2" width="39.21875" customWidth="1"/>
    <col min="3" max="3" width="8.44140625" customWidth="1"/>
  </cols>
  <sheetData>
    <row r="1" spans="2:12" x14ac:dyDescent="0.3">
      <c r="C1" s="28"/>
      <c r="D1" s="28"/>
      <c r="E1" s="28"/>
      <c r="F1" s="28"/>
      <c r="G1" s="28"/>
      <c r="H1" s="28"/>
      <c r="I1" s="44"/>
      <c r="J1" s="44"/>
      <c r="K1" s="44"/>
    </row>
    <row r="2" spans="2:12" x14ac:dyDescent="0.3">
      <c r="B2" s="47" t="s">
        <v>51</v>
      </c>
      <c r="C2" s="33">
        <v>2022</v>
      </c>
      <c r="D2" s="33" t="s">
        <v>44</v>
      </c>
      <c r="E2" s="33" t="s">
        <v>45</v>
      </c>
      <c r="F2" s="33" t="s">
        <v>46</v>
      </c>
      <c r="G2" s="33" t="s">
        <v>47</v>
      </c>
      <c r="H2" s="33" t="s">
        <v>48</v>
      </c>
      <c r="I2" s="33" t="s">
        <v>50</v>
      </c>
      <c r="J2" s="33" t="s">
        <v>53</v>
      </c>
      <c r="K2" s="33" t="s">
        <v>54</v>
      </c>
    </row>
    <row r="3" spans="2:12" ht="28.8" x14ac:dyDescent="0.3">
      <c r="B3" s="43" t="s">
        <v>49</v>
      </c>
      <c r="C3" s="28"/>
      <c r="D3" s="40">
        <v>0.15</v>
      </c>
      <c r="E3" s="40">
        <v>0.25</v>
      </c>
      <c r="F3" s="40">
        <v>0.33</v>
      </c>
      <c r="G3" s="40">
        <v>0.33</v>
      </c>
      <c r="H3" s="40">
        <v>0.33</v>
      </c>
      <c r="I3" s="40">
        <v>0.5</v>
      </c>
      <c r="J3" s="40">
        <v>1</v>
      </c>
      <c r="K3" s="40">
        <v>1</v>
      </c>
      <c r="L3" s="38">
        <v>0.33</v>
      </c>
    </row>
    <row r="4" spans="2:12" ht="45" customHeight="1" x14ac:dyDescent="0.3">
      <c r="B4" s="43" t="s">
        <v>63</v>
      </c>
      <c r="C4" s="28">
        <v>2400</v>
      </c>
      <c r="D4" s="41">
        <f>C4-D6/2.5+D6</f>
        <v>2449.5</v>
      </c>
      <c r="E4" s="41">
        <f>D4-E6/2.5+E6</f>
        <v>2521.4812499999998</v>
      </c>
      <c r="F4" s="41">
        <f t="shared" ref="E4:K4" si="0">E4-F6/2.5+F6</f>
        <v>2596.3057593749995</v>
      </c>
      <c r="G4" s="41">
        <f t="shared" si="0"/>
        <v>2650.141993870312</v>
      </c>
      <c r="H4" s="41">
        <f t="shared" si="0"/>
        <v>2688.8771645896895</v>
      </c>
      <c r="I4" s="41">
        <f t="shared" si="0"/>
        <v>2731.1043696390711</v>
      </c>
      <c r="J4" s="41">
        <f t="shared" si="0"/>
        <v>2779.6656554458605</v>
      </c>
      <c r="K4" s="41">
        <f t="shared" si="0"/>
        <v>2786.9498483168786</v>
      </c>
    </row>
    <row r="5" spans="2:12" ht="28.8" x14ac:dyDescent="0.3">
      <c r="B5" s="43" t="s">
        <v>55</v>
      </c>
      <c r="C5" s="28"/>
      <c r="D5" s="41">
        <f>C4*25%</f>
        <v>600</v>
      </c>
      <c r="E5" s="41">
        <f t="shared" ref="E5:K5" si="1">D4*25%</f>
        <v>612.375</v>
      </c>
      <c r="F5" s="41">
        <f t="shared" si="1"/>
        <v>630.37031249999995</v>
      </c>
      <c r="G5" s="41">
        <f t="shared" si="1"/>
        <v>649.07643984374988</v>
      </c>
      <c r="H5" s="41">
        <f t="shared" si="1"/>
        <v>662.53549846757801</v>
      </c>
      <c r="I5" s="41">
        <f t="shared" si="1"/>
        <v>672.21929114742238</v>
      </c>
      <c r="J5" s="41">
        <f t="shared" si="1"/>
        <v>682.77609240976778</v>
      </c>
      <c r="K5" s="41">
        <f t="shared" si="1"/>
        <v>694.91641386146512</v>
      </c>
      <c r="L5" s="39">
        <f>H4*25%</f>
        <v>672.21929114742238</v>
      </c>
    </row>
    <row r="6" spans="2:12" x14ac:dyDescent="0.3">
      <c r="B6" s="28" t="s">
        <v>41</v>
      </c>
      <c r="C6" s="28"/>
      <c r="D6" s="41">
        <f t="shared" ref="D6:K6" si="2">(D5-C7)*D3</f>
        <v>82.5</v>
      </c>
      <c r="E6" s="41">
        <f t="shared" si="2"/>
        <v>119.96875</v>
      </c>
      <c r="F6" s="41">
        <f t="shared" si="2"/>
        <v>124.70751562499998</v>
      </c>
      <c r="G6" s="41">
        <f t="shared" si="2"/>
        <v>89.72705749218747</v>
      </c>
      <c r="H6" s="41">
        <f t="shared" si="2"/>
        <v>64.558617865628875</v>
      </c>
      <c r="I6" s="41">
        <f t="shared" si="2"/>
        <v>70.378675082303005</v>
      </c>
      <c r="J6" s="41">
        <f t="shared" si="2"/>
        <v>80.935476344648464</v>
      </c>
      <c r="K6" s="41">
        <f t="shared" si="2"/>
        <v>12.140321451697332</v>
      </c>
    </row>
    <row r="7" spans="2:12" x14ac:dyDescent="0.3">
      <c r="B7" s="28" t="s">
        <v>42</v>
      </c>
      <c r="C7" s="28">
        <v>50</v>
      </c>
      <c r="D7" s="41">
        <f>D6+C7</f>
        <v>132.5</v>
      </c>
      <c r="E7" s="41">
        <f t="shared" ref="E7:K7" si="3">E6+D7</f>
        <v>252.46875</v>
      </c>
      <c r="F7" s="41">
        <f t="shared" si="3"/>
        <v>377.17626562499998</v>
      </c>
      <c r="G7" s="41">
        <f t="shared" si="3"/>
        <v>466.90332311718748</v>
      </c>
      <c r="H7" s="41">
        <f t="shared" si="3"/>
        <v>531.46194098281637</v>
      </c>
      <c r="I7" s="41">
        <f t="shared" si="3"/>
        <v>601.84061606511932</v>
      </c>
      <c r="J7" s="41">
        <f t="shared" si="3"/>
        <v>682.77609240976778</v>
      </c>
      <c r="K7" s="41">
        <f t="shared" si="3"/>
        <v>694.91641386146512</v>
      </c>
    </row>
    <row r="8" spans="2:12" x14ac:dyDescent="0.3">
      <c r="B8" s="28" t="s">
        <v>43</v>
      </c>
      <c r="C8" s="48">
        <f>C7/C4</f>
        <v>2.0833333333333332E-2</v>
      </c>
      <c r="D8" s="48">
        <f t="shared" ref="D8:G8" si="4">D7/D4</f>
        <v>5.4092671973872221E-2</v>
      </c>
      <c r="E8" s="48">
        <f t="shared" si="4"/>
        <v>0.10012715740004016</v>
      </c>
      <c r="F8" s="48">
        <f t="shared" si="4"/>
        <v>0.14527420904223409</v>
      </c>
      <c r="G8" s="49">
        <f t="shared" si="4"/>
        <v>0.1761804930441912</v>
      </c>
      <c r="H8" s="49">
        <f>H7/H4</f>
        <v>0.19765199689362345</v>
      </c>
      <c r="I8" s="50">
        <f>I7/I4</f>
        <v>0.22036529352580381</v>
      </c>
      <c r="J8" s="50">
        <f>J7/J4</f>
        <v>0.24563245261964789</v>
      </c>
      <c r="K8" s="50">
        <f>K7/K4</f>
        <v>0.24934658019811359</v>
      </c>
    </row>
    <row r="9" spans="2:12" x14ac:dyDescent="0.3">
      <c r="B9" s="46" t="s">
        <v>65</v>
      </c>
      <c r="C9" s="28"/>
      <c r="D9" s="41">
        <f>D4-$C$4</f>
        <v>49.5</v>
      </c>
      <c r="E9" s="41">
        <f t="shared" ref="E9:K9" si="5">E4-$C$4</f>
        <v>121.48124999999982</v>
      </c>
      <c r="F9" s="41">
        <f t="shared" si="5"/>
        <v>196.30575937499952</v>
      </c>
      <c r="G9" s="41">
        <f t="shared" si="5"/>
        <v>250.14199387031204</v>
      </c>
      <c r="H9" s="41">
        <f t="shared" si="5"/>
        <v>288.87716458968953</v>
      </c>
      <c r="I9" s="41">
        <f t="shared" si="5"/>
        <v>331.10436963907114</v>
      </c>
      <c r="J9" s="41">
        <f t="shared" si="5"/>
        <v>379.66565544586047</v>
      </c>
      <c r="K9" s="41">
        <f t="shared" si="5"/>
        <v>386.94984831687862</v>
      </c>
    </row>
    <row r="10" spans="2:12" x14ac:dyDescent="0.3">
      <c r="B10" s="46" t="s">
        <v>56</v>
      </c>
      <c r="C10" s="28"/>
      <c r="D10" s="42">
        <f>D9/$C$4</f>
        <v>2.0625000000000001E-2</v>
      </c>
      <c r="E10" s="42">
        <f t="shared" ref="E10:K10" si="6">E9/$C$4</f>
        <v>5.0617187499999924E-2</v>
      </c>
      <c r="F10" s="42">
        <f t="shared" si="6"/>
        <v>8.1794066406249796E-2</v>
      </c>
      <c r="G10" s="42">
        <f t="shared" si="6"/>
        <v>0.10422583077929669</v>
      </c>
      <c r="H10" s="42">
        <f t="shared" si="6"/>
        <v>0.12036548524570397</v>
      </c>
      <c r="I10" s="42">
        <f t="shared" si="6"/>
        <v>0.13796015401627965</v>
      </c>
      <c r="J10" s="42">
        <f t="shared" si="6"/>
        <v>0.15819402310244185</v>
      </c>
      <c r="K10" s="42">
        <f t="shared" si="6"/>
        <v>0.16122910346536609</v>
      </c>
    </row>
    <row r="11" spans="2:12" x14ac:dyDescent="0.3">
      <c r="B11" t="s">
        <v>67</v>
      </c>
      <c r="D11">
        <v>60</v>
      </c>
      <c r="E11">
        <f>60+D11</f>
        <v>120</v>
      </c>
      <c r="F11">
        <f t="shared" ref="F11:I11" si="7">60+E11</f>
        <v>180</v>
      </c>
      <c r="G11">
        <f t="shared" si="7"/>
        <v>240</v>
      </c>
      <c r="H11">
        <f t="shared" si="7"/>
        <v>300</v>
      </c>
      <c r="I11">
        <f t="shared" si="7"/>
        <v>360</v>
      </c>
    </row>
    <row r="12" spans="2:12" x14ac:dyDescent="0.3">
      <c r="B12" s="45" t="s">
        <v>57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B2" sqref="B2:K2"/>
    </sheetView>
  </sheetViews>
  <sheetFormatPr defaultRowHeight="14.4" x14ac:dyDescent="0.3"/>
  <cols>
    <col min="2" max="2" width="39.21875" customWidth="1"/>
    <col min="3" max="3" width="8.44140625" customWidth="1"/>
  </cols>
  <sheetData>
    <row r="1" spans="2:12" x14ac:dyDescent="0.3">
      <c r="C1" s="28"/>
      <c r="D1" s="28"/>
      <c r="E1" s="28"/>
      <c r="F1" s="28"/>
      <c r="G1" s="28"/>
      <c r="H1" s="28"/>
      <c r="I1" s="44"/>
      <c r="J1" s="44"/>
      <c r="K1" s="44"/>
    </row>
    <row r="2" spans="2:12" x14ac:dyDescent="0.3">
      <c r="B2" s="47" t="s">
        <v>51</v>
      </c>
      <c r="C2" s="33">
        <v>2022</v>
      </c>
      <c r="D2" s="33" t="s">
        <v>44</v>
      </c>
      <c r="E2" s="33" t="s">
        <v>45</v>
      </c>
      <c r="F2" s="33" t="s">
        <v>46</v>
      </c>
      <c r="G2" s="33" t="s">
        <v>47</v>
      </c>
      <c r="H2" s="33" t="s">
        <v>48</v>
      </c>
      <c r="I2" s="33" t="s">
        <v>50</v>
      </c>
      <c r="J2" s="33" t="s">
        <v>53</v>
      </c>
      <c r="K2" s="33" t="s">
        <v>54</v>
      </c>
    </row>
    <row r="3" spans="2:12" ht="28.8" x14ac:dyDescent="0.3">
      <c r="B3" s="43" t="s">
        <v>49</v>
      </c>
      <c r="C3" s="28"/>
      <c r="D3" s="40">
        <v>0.15</v>
      </c>
      <c r="E3" s="40">
        <v>0.25</v>
      </c>
      <c r="F3" s="40">
        <v>0.33</v>
      </c>
      <c r="G3" s="40">
        <v>0.33</v>
      </c>
      <c r="H3" s="40">
        <v>0.33</v>
      </c>
      <c r="I3" s="40">
        <v>0.5</v>
      </c>
      <c r="J3" s="40">
        <v>1</v>
      </c>
      <c r="K3" s="40">
        <v>1</v>
      </c>
      <c r="L3" s="38">
        <v>0.33</v>
      </c>
    </row>
    <row r="4" spans="2:12" ht="45" customHeight="1" x14ac:dyDescent="0.3">
      <c r="B4" s="43" t="s">
        <v>64</v>
      </c>
      <c r="C4" s="28">
        <v>2400</v>
      </c>
      <c r="D4" s="41">
        <f>C4+D6</f>
        <v>2482.5</v>
      </c>
      <c r="E4" s="41">
        <f t="shared" ref="E4:K4" si="0">D4+E6</f>
        <v>2604.53125</v>
      </c>
      <c r="F4" s="41">
        <f t="shared" si="0"/>
        <v>2735.4097656250001</v>
      </c>
      <c r="G4" s="41">
        <f t="shared" si="0"/>
        <v>2833.8958486328124</v>
      </c>
      <c r="H4" s="41">
        <f t="shared" si="0"/>
        <v>2908.0066260961912</v>
      </c>
      <c r="I4" s="41">
        <f t="shared" si="0"/>
        <v>2992.5041413101194</v>
      </c>
      <c r="J4" s="41">
        <f t="shared" si="0"/>
        <v>3098.1260353275297</v>
      </c>
      <c r="K4" s="41">
        <f t="shared" si="0"/>
        <v>3124.5315088318821</v>
      </c>
    </row>
    <row r="5" spans="2:12" ht="28.8" x14ac:dyDescent="0.3">
      <c r="B5" s="43" t="s">
        <v>55</v>
      </c>
      <c r="C5" s="28"/>
      <c r="D5" s="41">
        <f>C4*25%</f>
        <v>600</v>
      </c>
      <c r="E5" s="41">
        <f>D4*25%</f>
        <v>620.625</v>
      </c>
      <c r="F5" s="41">
        <f t="shared" ref="E5:K5" si="1">E4*25%</f>
        <v>651.1328125</v>
      </c>
      <c r="G5" s="41">
        <f t="shared" si="1"/>
        <v>683.85244140625002</v>
      </c>
      <c r="H5" s="41">
        <f t="shared" si="1"/>
        <v>708.47396215820311</v>
      </c>
      <c r="I5" s="41">
        <f t="shared" si="1"/>
        <v>727.0016565240478</v>
      </c>
      <c r="J5" s="41">
        <f t="shared" si="1"/>
        <v>748.12603532752985</v>
      </c>
      <c r="K5" s="41">
        <f t="shared" si="1"/>
        <v>774.53150883188243</v>
      </c>
      <c r="L5" s="39">
        <f>H4*25%</f>
        <v>727.0016565240478</v>
      </c>
    </row>
    <row r="6" spans="2:12" x14ac:dyDescent="0.3">
      <c r="B6" s="28" t="s">
        <v>41</v>
      </c>
      <c r="C6" s="28"/>
      <c r="D6" s="41">
        <f t="shared" ref="D6:K6" si="2">(D5-C7)*D3</f>
        <v>82.5</v>
      </c>
      <c r="E6" s="41">
        <f>(E5-D7)*E3</f>
        <v>122.03125</v>
      </c>
      <c r="F6" s="41">
        <f t="shared" si="2"/>
        <v>130.87851562500001</v>
      </c>
      <c r="G6" s="41">
        <f t="shared" si="2"/>
        <v>98.486083007812525</v>
      </c>
      <c r="H6" s="41">
        <f t="shared" si="2"/>
        <v>74.110777463378909</v>
      </c>
      <c r="I6" s="41">
        <f t="shared" si="2"/>
        <v>84.497515213928182</v>
      </c>
      <c r="J6" s="41">
        <f t="shared" si="2"/>
        <v>105.62189401741023</v>
      </c>
      <c r="K6" s="41">
        <f t="shared" si="2"/>
        <v>26.405473504352585</v>
      </c>
    </row>
    <row r="7" spans="2:12" x14ac:dyDescent="0.3">
      <c r="B7" s="28" t="s">
        <v>42</v>
      </c>
      <c r="C7" s="28">
        <v>50</v>
      </c>
      <c r="D7" s="41">
        <f>D6+C7</f>
        <v>132.5</v>
      </c>
      <c r="E7" s="41">
        <f t="shared" ref="E7:K7" si="3">E6+D7</f>
        <v>254.53125</v>
      </c>
      <c r="F7" s="41">
        <f t="shared" si="3"/>
        <v>385.40976562499998</v>
      </c>
      <c r="G7" s="41">
        <f t="shared" si="3"/>
        <v>483.89584863281249</v>
      </c>
      <c r="H7" s="41">
        <f t="shared" si="3"/>
        <v>558.00662609619144</v>
      </c>
      <c r="I7" s="41">
        <f t="shared" si="3"/>
        <v>642.50414131011962</v>
      </c>
      <c r="J7" s="41">
        <f t="shared" si="3"/>
        <v>748.12603532752985</v>
      </c>
      <c r="K7" s="41">
        <f t="shared" si="3"/>
        <v>774.53150883188243</v>
      </c>
    </row>
    <row r="8" spans="2:12" x14ac:dyDescent="0.3">
      <c r="B8" s="28" t="s">
        <v>43</v>
      </c>
      <c r="C8" s="48">
        <f>C7/C4</f>
        <v>2.0833333333333332E-2</v>
      </c>
      <c r="D8" s="48">
        <f t="shared" ref="D8:G8" si="4">D7/D4</f>
        <v>5.3373615307150048E-2</v>
      </c>
      <c r="E8" s="48">
        <f t="shared" si="4"/>
        <v>9.7726318315435837E-2</v>
      </c>
      <c r="F8" s="48">
        <f t="shared" si="4"/>
        <v>0.14089653786731277</v>
      </c>
      <c r="G8" s="49">
        <f t="shared" si="4"/>
        <v>0.17075286971688239</v>
      </c>
      <c r="H8" s="49">
        <f>H7/H4</f>
        <v>0.19188629801895563</v>
      </c>
      <c r="I8" s="50">
        <f>I7/I4</f>
        <v>0.21470451199737725</v>
      </c>
      <c r="J8" s="50">
        <f>J7/J4</f>
        <v>0.24147695309898487</v>
      </c>
      <c r="K8" s="50">
        <f>K7/K4</f>
        <v>0.24788724538145046</v>
      </c>
    </row>
    <row r="9" spans="2:12" x14ac:dyDescent="0.3">
      <c r="B9" s="46" t="s">
        <v>65</v>
      </c>
      <c r="C9" s="28"/>
      <c r="D9" s="41">
        <f>D4-$C$4</f>
        <v>82.5</v>
      </c>
      <c r="E9" s="41">
        <f t="shared" ref="E9:K9" si="5">E4-$C$4</f>
        <v>204.53125</v>
      </c>
      <c r="F9" s="41">
        <f t="shared" si="5"/>
        <v>335.40976562500009</v>
      </c>
      <c r="G9" s="41">
        <f t="shared" si="5"/>
        <v>433.89584863281243</v>
      </c>
      <c r="H9" s="41">
        <f t="shared" si="5"/>
        <v>508.00662609619121</v>
      </c>
      <c r="I9" s="41">
        <f t="shared" si="5"/>
        <v>592.50414131011939</v>
      </c>
      <c r="J9" s="41">
        <f t="shared" si="5"/>
        <v>698.12603532752973</v>
      </c>
      <c r="K9" s="41">
        <f t="shared" si="5"/>
        <v>724.53150883188209</v>
      </c>
    </row>
    <row r="10" spans="2:12" x14ac:dyDescent="0.3">
      <c r="B10" s="46" t="s">
        <v>56</v>
      </c>
      <c r="C10" s="28"/>
      <c r="D10" s="42">
        <f>D9/$C$4</f>
        <v>3.4375000000000003E-2</v>
      </c>
      <c r="E10" s="42">
        <f t="shared" ref="E10:K10" si="6">E9/$C$4</f>
        <v>8.5221354166666666E-2</v>
      </c>
      <c r="F10" s="42">
        <f t="shared" si="6"/>
        <v>0.1397540690104167</v>
      </c>
      <c r="G10" s="42">
        <f t="shared" si="6"/>
        <v>0.18078993693033851</v>
      </c>
      <c r="H10" s="42">
        <f t="shared" si="6"/>
        <v>0.21166942754007967</v>
      </c>
      <c r="I10" s="42">
        <f t="shared" si="6"/>
        <v>0.24687672554588308</v>
      </c>
      <c r="J10" s="42">
        <f t="shared" si="6"/>
        <v>0.29088584805313739</v>
      </c>
      <c r="K10" s="42">
        <f t="shared" si="6"/>
        <v>0.30188812867995085</v>
      </c>
    </row>
    <row r="12" spans="2:12" x14ac:dyDescent="0.3">
      <c r="B12" s="45" t="s">
        <v>57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3"/>
  <sheetViews>
    <sheetView workbookViewId="0">
      <selection activeCell="E27" sqref="E27"/>
    </sheetView>
  </sheetViews>
  <sheetFormatPr defaultRowHeight="14.4" x14ac:dyDescent="0.3"/>
  <cols>
    <col min="3" max="3" width="62.6640625" customWidth="1"/>
    <col min="4" max="4" width="15.21875" customWidth="1"/>
  </cols>
  <sheetData>
    <row r="5" spans="3:5" x14ac:dyDescent="0.3">
      <c r="C5" t="s">
        <v>20</v>
      </c>
      <c r="D5">
        <v>2400</v>
      </c>
      <c r="E5">
        <v>2400</v>
      </c>
    </row>
    <row r="6" spans="3:5" x14ac:dyDescent="0.3">
      <c r="C6" t="s">
        <v>21</v>
      </c>
      <c r="D6">
        <v>200</v>
      </c>
      <c r="E6">
        <v>300</v>
      </c>
    </row>
    <row r="7" spans="3:5" x14ac:dyDescent="0.3">
      <c r="C7" t="s">
        <v>25</v>
      </c>
      <c r="D7">
        <f>D6*2.5</f>
        <v>500</v>
      </c>
      <c r="E7">
        <f>E6*2.5</f>
        <v>750</v>
      </c>
    </row>
    <row r="8" spans="3:5" x14ac:dyDescent="0.3">
      <c r="C8" t="s">
        <v>23</v>
      </c>
      <c r="D8">
        <f>D7+D5-D6</f>
        <v>2700</v>
      </c>
      <c r="E8">
        <f>E7+E5-E6</f>
        <v>2850</v>
      </c>
    </row>
    <row r="9" spans="3:5" x14ac:dyDescent="0.3">
      <c r="C9" t="s">
        <v>24</v>
      </c>
      <c r="D9" s="25">
        <f>D7/D8</f>
        <v>0.18518518518518517</v>
      </c>
      <c r="E9" s="26">
        <f>E7/E8</f>
        <v>0.26315789473684209</v>
      </c>
    </row>
    <row r="10" spans="3:5" x14ac:dyDescent="0.3">
      <c r="C10" t="s">
        <v>28</v>
      </c>
      <c r="D10">
        <f>2.5*(D5-D6)</f>
        <v>5500</v>
      </c>
      <c r="E10">
        <f>2.5*(E5-E6)</f>
        <v>5250</v>
      </c>
    </row>
    <row r="11" spans="3:5" x14ac:dyDescent="0.3">
      <c r="C11" t="s">
        <v>27</v>
      </c>
      <c r="D11">
        <f>D7*1.9</f>
        <v>950</v>
      </c>
      <c r="E11">
        <f>E7*1.9</f>
        <v>1425</v>
      </c>
    </row>
    <row r="12" spans="3:5" x14ac:dyDescent="0.3">
      <c r="D12">
        <f>D11+D10</f>
        <v>6450</v>
      </c>
      <c r="E12">
        <f>E11+E10</f>
        <v>6675</v>
      </c>
    </row>
    <row r="13" spans="3:5" x14ac:dyDescent="0.3">
      <c r="C13" t="s">
        <v>22</v>
      </c>
      <c r="D13">
        <v>50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opLeftCell="A8" workbookViewId="0">
      <selection activeCell="A8" sqref="A8"/>
    </sheetView>
  </sheetViews>
  <sheetFormatPr defaultRowHeight="14.4" x14ac:dyDescent="0.3"/>
  <cols>
    <col min="1" max="1" width="52.88671875" customWidth="1"/>
  </cols>
  <sheetData>
    <row r="2" spans="1:10" x14ac:dyDescent="0.3">
      <c r="A2" s="46" t="s">
        <v>65</v>
      </c>
    </row>
    <row r="5" spans="1:10" x14ac:dyDescent="0.3">
      <c r="A5" s="47" t="s">
        <v>51</v>
      </c>
      <c r="B5" s="33">
        <v>2022</v>
      </c>
      <c r="C5" s="33" t="s">
        <v>44</v>
      </c>
      <c r="D5" s="33" t="s">
        <v>45</v>
      </c>
      <c r="E5" s="33" t="s">
        <v>46</v>
      </c>
      <c r="F5" s="33" t="s">
        <v>47</v>
      </c>
      <c r="G5" s="33" t="s">
        <v>48</v>
      </c>
      <c r="H5" s="33" t="s">
        <v>50</v>
      </c>
      <c r="I5" s="33" t="s">
        <v>53</v>
      </c>
      <c r="J5" s="33" t="s">
        <v>54</v>
      </c>
    </row>
    <row r="6" spans="1:10" x14ac:dyDescent="0.3">
      <c r="A6" t="s">
        <v>70</v>
      </c>
      <c r="B6" s="39">
        <f>'cadence construction'!C9</f>
        <v>0</v>
      </c>
      <c r="C6" s="39">
        <f>'cadence construction'!D9</f>
        <v>103.125</v>
      </c>
      <c r="D6" s="39">
        <f>'cadence construction'!E9</f>
        <v>257.275390625</v>
      </c>
      <c r="E6" s="39">
        <f>'cadence construction'!F9</f>
        <v>425.78103637695313</v>
      </c>
      <c r="F6" s="39">
        <f>'cadence construction'!G9</f>
        <v>556.05696374893205</v>
      </c>
      <c r="G6" s="39">
        <f>'cadence construction'!H9</f>
        <v>656.77654009839307</v>
      </c>
      <c r="H6" s="39">
        <f>'cadence construction'!I9</f>
        <v>774.75960443957047</v>
      </c>
      <c r="I6" s="39">
        <f>'cadence construction'!J9</f>
        <v>929.61237638736566</v>
      </c>
      <c r="J6" s="39">
        <f>'cadence construction'!K9</f>
        <v>978.00386762105154</v>
      </c>
    </row>
    <row r="7" spans="1:10" x14ac:dyDescent="0.3">
      <c r="A7" t="s">
        <v>68</v>
      </c>
      <c r="B7" s="39">
        <f>'cadence conversion RP'!C9</f>
        <v>0</v>
      </c>
      <c r="C7" s="39">
        <f>'cadence conversion RP'!D9</f>
        <v>49.5</v>
      </c>
      <c r="D7" s="39">
        <f>'cadence conversion RP'!E9</f>
        <v>121.48124999999982</v>
      </c>
      <c r="E7" s="39">
        <f>'cadence conversion RP'!F9</f>
        <v>196.30575937499952</v>
      </c>
      <c r="F7" s="39">
        <f>'cadence conversion RP'!G9</f>
        <v>250.14199387031204</v>
      </c>
      <c r="G7" s="39">
        <f>'cadence conversion RP'!H9</f>
        <v>288.87716458968953</v>
      </c>
      <c r="H7" s="39">
        <f>'cadence conversion RP'!I9</f>
        <v>331.10436963907114</v>
      </c>
      <c r="I7" s="39">
        <f>'cadence conversion RP'!J9</f>
        <v>379.66565544586047</v>
      </c>
      <c r="J7" s="39">
        <f>'cadence conversion RP'!K9</f>
        <v>386.94984831687862</v>
      </c>
    </row>
    <row r="8" spans="1:10" x14ac:dyDescent="0.3">
      <c r="A8" t="s">
        <v>69</v>
      </c>
      <c r="B8" s="41">
        <f>'cadence conversion RS LV'!C9</f>
        <v>0</v>
      </c>
      <c r="C8" s="41">
        <f>'cadence conversion RS LV'!D9</f>
        <v>82.5</v>
      </c>
      <c r="D8" s="41">
        <f>'cadence conversion RS LV'!E9</f>
        <v>204.53125</v>
      </c>
      <c r="E8" s="41">
        <f>'cadence conversion RS LV'!F9</f>
        <v>335.40976562500009</v>
      </c>
      <c r="F8" s="41">
        <f>'cadence conversion RS LV'!G9</f>
        <v>433.89584863281243</v>
      </c>
      <c r="G8" s="41">
        <f>'cadence conversion RS LV'!H9</f>
        <v>508.00662609619121</v>
      </c>
      <c r="H8" s="41">
        <f>'cadence conversion RS LV'!I9</f>
        <v>592.50414131011939</v>
      </c>
      <c r="I8" s="41">
        <f>'cadence conversion RS LV'!J9</f>
        <v>698.12603532752973</v>
      </c>
      <c r="J8" s="41">
        <f>'cadence conversion RS LV'!K9</f>
        <v>724.53150883188209</v>
      </c>
    </row>
    <row r="9" spans="1:10" x14ac:dyDescent="0.3">
      <c r="A9" t="s">
        <v>67</v>
      </c>
      <c r="C9">
        <v>60</v>
      </c>
      <c r="D9">
        <f>60+C9</f>
        <v>120</v>
      </c>
      <c r="E9">
        <f t="shared" ref="E9:H9" si="0">60+D9</f>
        <v>180</v>
      </c>
      <c r="F9">
        <f t="shared" si="0"/>
        <v>240</v>
      </c>
      <c r="G9">
        <f t="shared" si="0"/>
        <v>300</v>
      </c>
      <c r="H9">
        <f t="shared" si="0"/>
        <v>360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B4" sqref="B4:E9"/>
    </sheetView>
  </sheetViews>
  <sheetFormatPr defaultRowHeight="14.4" x14ac:dyDescent="0.3"/>
  <cols>
    <col min="2" max="2" width="41.88671875" customWidth="1"/>
    <col min="3" max="3" width="32.77734375" customWidth="1"/>
    <col min="4" max="4" width="34" customWidth="1"/>
    <col min="5" max="5" width="39" customWidth="1"/>
  </cols>
  <sheetData>
    <row r="4" spans="2:5" ht="34.799999999999997" customHeight="1" x14ac:dyDescent="0.3">
      <c r="C4" s="52" t="s">
        <v>70</v>
      </c>
      <c r="D4" s="52" t="s">
        <v>68</v>
      </c>
      <c r="E4" s="52" t="s">
        <v>69</v>
      </c>
    </row>
    <row r="5" spans="2:5" x14ac:dyDescent="0.3">
      <c r="B5" s="28" t="s">
        <v>71</v>
      </c>
      <c r="C5" s="29">
        <v>1000</v>
      </c>
      <c r="D5" s="29" t="s">
        <v>76</v>
      </c>
      <c r="E5" s="29" t="s">
        <v>77</v>
      </c>
    </row>
    <row r="6" spans="2:5" x14ac:dyDescent="0.3">
      <c r="B6" s="28" t="s">
        <v>74</v>
      </c>
      <c r="C6" s="37">
        <f>1000/2400</f>
        <v>0.41666666666666669</v>
      </c>
      <c r="D6" s="37">
        <f>450/2400</f>
        <v>0.1875</v>
      </c>
      <c r="E6" s="37">
        <f>750/2400</f>
        <v>0.3125</v>
      </c>
    </row>
    <row r="7" spans="2:5" x14ac:dyDescent="0.3">
      <c r="B7" s="28" t="s">
        <v>72</v>
      </c>
      <c r="C7" s="29" t="s">
        <v>78</v>
      </c>
      <c r="D7" s="29" t="s">
        <v>79</v>
      </c>
      <c r="E7" s="29" t="s">
        <v>75</v>
      </c>
    </row>
    <row r="8" spans="2:5" x14ac:dyDescent="0.3">
      <c r="B8" s="28" t="s">
        <v>73</v>
      </c>
      <c r="C8" s="29">
        <v>80</v>
      </c>
      <c r="D8" s="29">
        <v>0</v>
      </c>
      <c r="E8" s="29">
        <v>0</v>
      </c>
    </row>
    <row r="9" spans="2:5" x14ac:dyDescent="0.3">
      <c r="B9" s="28" t="s">
        <v>80</v>
      </c>
      <c r="C9" s="29" t="s">
        <v>81</v>
      </c>
      <c r="D9" s="29">
        <v>0</v>
      </c>
      <c r="E9" s="29">
        <v>0</v>
      </c>
    </row>
  </sheetData>
  <pageMargins left="0.7" right="0.7" top="0.75" bottom="0.75" header="0.3" footer="0.3"/>
  <pageSetup paperSize="9" orientation="portrait" r:id="rId1"/>
  <headerFooter>
    <oddHeader>&amp;C&amp;"Calibri"&amp;10&amp;KFF8C00C2 - Confidential&amp;1#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Hypothèse construction</vt:lpstr>
      <vt:lpstr>Hypothèse conversion</vt:lpstr>
      <vt:lpstr>Hypothèse log Vacant et RSecond</vt:lpstr>
      <vt:lpstr>cadence construction</vt:lpstr>
      <vt:lpstr>cadence conversion RP</vt:lpstr>
      <vt:lpstr>cadence conversion RS LV</vt:lpstr>
      <vt:lpstr>Sheet1</vt:lpstr>
      <vt:lpstr>synthèse cadence</vt:lpstr>
      <vt:lpstr>synthèse scnéario</vt:lpstr>
    </vt:vector>
  </TitlesOfParts>
  <Company>SAFRAN Electrical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JASLIER Yann (SAFRAN ELECTRONICS &amp; DEFENSE)</dc:creator>
  <cp:lastModifiedBy>JASLIER Yann (SAFRAN ELECTRONICS &amp; DEFENSE)</cp:lastModifiedBy>
  <dcterms:created xsi:type="dcterms:W3CDTF">2024-12-31T06:21:51Z</dcterms:created>
  <dcterms:modified xsi:type="dcterms:W3CDTF">2025-03-03T10:53:59Z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ffcea-f25b-491e-9dc9-834516f3550e_Enabled">
    <vt:lpwstr>true</vt:lpwstr>
  </property>
  <property fmtid="{D5CDD505-2E9C-101B-9397-08002B2CF9AE}" pid="3" name="MSIP_Label_024ffcea-f25b-491e-9dc9-834516f3550e_SetDate">
    <vt:lpwstr>2025-03-03T10:53:59Z</vt:lpwstr>
  </property>
  <property fmtid="{D5CDD505-2E9C-101B-9397-08002B2CF9AE}" pid="4" name="MSIP_Label_024ffcea-f25b-491e-9dc9-834516f3550e_Method">
    <vt:lpwstr>Standard</vt:lpwstr>
  </property>
  <property fmtid="{D5CDD505-2E9C-101B-9397-08002B2CF9AE}" pid="5" name="MSIP_Label_024ffcea-f25b-491e-9dc9-834516f3550e_Name">
    <vt:lpwstr>C2 - restricted</vt:lpwstr>
  </property>
  <property fmtid="{D5CDD505-2E9C-101B-9397-08002B2CF9AE}" pid="6" name="MSIP_Label_024ffcea-f25b-491e-9dc9-834516f3550e_SiteId">
    <vt:lpwstr>d52b49b7-0c8f-4d89-8c4f-f20517306e08</vt:lpwstr>
  </property>
  <property fmtid="{D5CDD505-2E9C-101B-9397-08002B2CF9AE}" pid="7" name="MSIP_Label_024ffcea-f25b-491e-9dc9-834516f3550e_ActionId">
    <vt:lpwstr>3b359aa6-e209-4149-b60d-a828388ba555</vt:lpwstr>
  </property>
  <property fmtid="{D5CDD505-2E9C-101B-9397-08002B2CF9AE}" pid="8" name="MSIP_Label_024ffcea-f25b-491e-9dc9-834516f3550e_ContentBits">
    <vt:lpwstr>1</vt:lpwstr>
  </property>
</Properties>
</file>